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кустарник" sheetId="15" r:id="rId1"/>
    <sheet name="валка выше 12м с распилом" sheetId="12" r:id="rId2"/>
    <sheet name="валка выше 12м" sheetId="10" r:id="rId3"/>
    <sheet name="валка до 12 м с распилом" sheetId="9" r:id="rId4"/>
    <sheet name="валка до 12 м" sheetId="8" r:id="rId5"/>
    <sheet name="кронирование с распилом 12-17м" sheetId="7" r:id="rId6"/>
    <sheet name="кронирование с распилом до 12м" sheetId="5" r:id="rId7"/>
    <sheet name="автовышка" sheetId="4" r:id="rId8"/>
    <sheet name="покос" sheetId="1" r:id="rId9"/>
    <sheet name="рабочий" sheetId="13" r:id="rId10"/>
  </sheets>
  <calcPr calcId="125725"/>
</workbook>
</file>

<file path=xl/calcChain.xml><?xml version="1.0" encoding="utf-8"?>
<calcChain xmlns="http://schemas.openxmlformats.org/spreadsheetml/2006/main">
  <c r="D39" i="15"/>
  <c r="D38"/>
  <c r="D44" i="9"/>
  <c r="D43"/>
  <c r="D44" i="8"/>
  <c r="D43"/>
  <c r="D46"/>
  <c r="D40" i="7"/>
  <c r="D39"/>
  <c r="D39" i="1"/>
  <c r="D38"/>
  <c r="D41"/>
  <c r="D27" i="13"/>
  <c r="D26"/>
  <c r="D30" i="15"/>
  <c r="D29"/>
  <c r="D27"/>
  <c r="D26"/>
  <c r="D25"/>
  <c r="D24"/>
  <c r="D23"/>
  <c r="D22"/>
  <c r="D21" s="1"/>
  <c r="D20"/>
  <c r="D19" s="1"/>
  <c r="D18"/>
  <c r="D17"/>
  <c r="D16"/>
  <c r="D12"/>
  <c r="D11"/>
  <c r="D20" i="13"/>
  <c r="D19" s="1"/>
  <c r="D18"/>
  <c r="D17"/>
  <c r="D16"/>
  <c r="D12"/>
  <c r="D11"/>
  <c r="D31" i="12"/>
  <c r="D30"/>
  <c r="D29"/>
  <c r="D28"/>
  <c r="D27"/>
  <c r="D26"/>
  <c r="D25"/>
  <c r="D24"/>
  <c r="D23"/>
  <c r="D22"/>
  <c r="D21" s="1"/>
  <c r="D20"/>
  <c r="D19" s="1"/>
  <c r="D18"/>
  <c r="D17"/>
  <c r="D16"/>
  <c r="D15" s="1"/>
  <c r="D14" s="1"/>
  <c r="D12"/>
  <c r="D11"/>
  <c r="D13" s="1"/>
  <c r="D10" s="1"/>
  <c r="D20" i="7"/>
  <c r="D18"/>
  <c r="D17"/>
  <c r="D16"/>
  <c r="D15" s="1"/>
  <c r="D27" i="10"/>
  <c r="D27" i="9"/>
  <c r="D27" i="8"/>
  <c r="D20" i="10"/>
  <c r="D19" s="1"/>
  <c r="D18"/>
  <c r="D17"/>
  <c r="D16"/>
  <c r="D12"/>
  <c r="D11"/>
  <c r="D31"/>
  <c r="D30"/>
  <c r="D29"/>
  <c r="D26"/>
  <c r="D25"/>
  <c r="D24"/>
  <c r="D23"/>
  <c r="D22"/>
  <c r="D21" s="1"/>
  <c r="D15"/>
  <c r="D31" i="9"/>
  <c r="D30"/>
  <c r="D29"/>
  <c r="D28"/>
  <c r="D26"/>
  <c r="D25"/>
  <c r="D24"/>
  <c r="D23"/>
  <c r="D22"/>
  <c r="D21" s="1"/>
  <c r="D20"/>
  <c r="D19" s="1"/>
  <c r="D18"/>
  <c r="D17"/>
  <c r="D16"/>
  <c r="D15" s="1"/>
  <c r="D14" s="1"/>
  <c r="D12"/>
  <c r="D11"/>
  <c r="D13" s="1"/>
  <c r="D10" s="1"/>
  <c r="D31" i="8"/>
  <c r="D30"/>
  <c r="D29"/>
  <c r="D28" s="1"/>
  <c r="D26"/>
  <c r="D25"/>
  <c r="D24"/>
  <c r="D23"/>
  <c r="D22"/>
  <c r="D21"/>
  <c r="D20"/>
  <c r="D19"/>
  <c r="D18"/>
  <c r="D17"/>
  <c r="D16"/>
  <c r="D15"/>
  <c r="D14" s="1"/>
  <c r="D13"/>
  <c r="D12"/>
  <c r="D11"/>
  <c r="D10" s="1"/>
  <c r="D12" i="7"/>
  <c r="D11"/>
  <c r="D31"/>
  <c r="D30"/>
  <c r="D29"/>
  <c r="D28" s="1"/>
  <c r="D27"/>
  <c r="D26"/>
  <c r="D25"/>
  <c r="D24"/>
  <c r="D23"/>
  <c r="D22"/>
  <c r="D19"/>
  <c r="D31" i="5"/>
  <c r="D29"/>
  <c r="D26"/>
  <c r="D23"/>
  <c r="D22"/>
  <c r="D30"/>
  <c r="D28" s="1"/>
  <c r="D25"/>
  <c r="D24"/>
  <c r="D27"/>
  <c r="D20"/>
  <c r="D17"/>
  <c r="D16"/>
  <c r="D12"/>
  <c r="D11"/>
  <c r="D26" i="4"/>
  <c r="D18" i="5"/>
  <c r="D32" i="4"/>
  <c r="D31"/>
  <c r="D30" s="1"/>
  <c r="D26" i="1"/>
  <c r="D28" i="4"/>
  <c r="D27" s="1"/>
  <c r="D23"/>
  <c r="D25"/>
  <c r="D18"/>
  <c r="D24"/>
  <c r="D22"/>
  <c r="D20"/>
  <c r="D17"/>
  <c r="D18" i="1"/>
  <c r="D16" i="4"/>
  <c r="D15" s="1"/>
  <c r="D14" s="1"/>
  <c r="D17" i="1"/>
  <c r="D16" s="1"/>
  <c r="D14" s="1"/>
  <c r="D12" i="4"/>
  <c r="D11"/>
  <c r="D19"/>
  <c r="D12" i="1"/>
  <c r="D21"/>
  <c r="D11"/>
  <c r="D13" s="1"/>
  <c r="D28"/>
  <c r="D27" s="1"/>
  <c r="D25"/>
  <c r="D24"/>
  <c r="D22"/>
  <c r="D20" s="1"/>
  <c r="D19"/>
  <c r="D21" i="4" l="1"/>
  <c r="D46" i="9"/>
  <c r="D48"/>
  <c r="D48" i="8"/>
  <c r="D21" i="7"/>
  <c r="D13"/>
  <c r="D10" s="1"/>
  <c r="D33" s="1"/>
  <c r="D13" i="5"/>
  <c r="D10" s="1"/>
  <c r="D21"/>
  <c r="D15" i="15"/>
  <c r="D28"/>
  <c r="D14"/>
  <c r="D13"/>
  <c r="D10" s="1"/>
  <c r="D13" i="13"/>
  <c r="D10" s="1"/>
  <c r="D15"/>
  <c r="D14" s="1"/>
  <c r="D22"/>
  <c r="D21"/>
  <c r="D33" i="12"/>
  <c r="D9"/>
  <c r="D32"/>
  <c r="D28" i="10"/>
  <c r="D14" i="7"/>
  <c r="D14" i="10"/>
  <c r="D13"/>
  <c r="D10" s="1"/>
  <c r="D32" i="9"/>
  <c r="D33"/>
  <c r="D9"/>
  <c r="D32" i="8"/>
  <c r="D33"/>
  <c r="D9"/>
  <c r="D32" i="7"/>
  <c r="D9"/>
  <c r="D15" i="5"/>
  <c r="D19"/>
  <c r="D33"/>
  <c r="D32"/>
  <c r="D13" i="4"/>
  <c r="D10" s="1"/>
  <c r="D9" s="1"/>
  <c r="D23" i="1"/>
  <c r="D10"/>
  <c r="D40" i="12" l="1"/>
  <c r="D39"/>
  <c r="D9" i="15"/>
  <c r="D31"/>
  <c r="D32"/>
  <c r="D9" i="13"/>
  <c r="D34" i="12"/>
  <c r="D35" s="1"/>
  <c r="D37" s="1"/>
  <c r="D32" i="10"/>
  <c r="D33"/>
  <c r="D9"/>
  <c r="D34" i="9"/>
  <c r="D35" s="1"/>
  <c r="D34" i="8"/>
  <c r="D35"/>
  <c r="D34" i="7"/>
  <c r="D35" s="1"/>
  <c r="D14" i="5"/>
  <c r="D9" s="1"/>
  <c r="D34" i="4"/>
  <c r="D33"/>
  <c r="D29" i="1"/>
  <c r="D9"/>
  <c r="D30"/>
  <c r="D38" i="4" l="1"/>
  <c r="D39" s="1"/>
  <c r="D42" i="12"/>
  <c r="D39" i="10"/>
  <c r="D34" i="5"/>
  <c r="D35" s="1"/>
  <c r="D39" s="1"/>
  <c r="D43"/>
  <c r="D44" s="1"/>
  <c r="D33" i="15"/>
  <c r="D34" s="1"/>
  <c r="D24" i="13"/>
  <c r="D23"/>
  <c r="D34" i="10"/>
  <c r="D35" s="1"/>
  <c r="D37" s="1"/>
  <c r="D37" i="9"/>
  <c r="D39"/>
  <c r="D37" i="8"/>
  <c r="D39"/>
  <c r="D37" i="7"/>
  <c r="D37" i="5"/>
  <c r="D35" i="4"/>
  <c r="D36" s="1"/>
  <c r="D31" i="1"/>
  <c r="D32" s="1"/>
  <c r="D34" s="1"/>
  <c r="D40" i="10" l="1"/>
  <c r="D42" s="1"/>
  <c r="D42" i="7"/>
  <c r="D46" i="5"/>
  <c r="D48"/>
  <c r="D36" i="15"/>
  <c r="D41" s="1"/>
</calcChain>
</file>

<file path=xl/sharedStrings.xml><?xml version="1.0" encoding="utf-8"?>
<sst xmlns="http://schemas.openxmlformats.org/spreadsheetml/2006/main" count="894" uniqueCount="188">
  <si>
    <t>№ пп</t>
  </si>
  <si>
    <t>Наименование показателя</t>
  </si>
  <si>
    <t>Плановые показатели на рассчетный период</t>
  </si>
  <si>
    <t>1.</t>
  </si>
  <si>
    <t>УТВЕРЖДАЮ                                                               глава Курчанского сельского поселения Темрюкского района                                                                            ___________________В.П.Гришков                                         ___________________ 2020 год</t>
  </si>
  <si>
    <t>2.</t>
  </si>
  <si>
    <t>Расходы по статьям затрат</t>
  </si>
  <si>
    <t>Материальные затраты:</t>
  </si>
  <si>
    <t>ремонт (капитальный, текущий)</t>
  </si>
  <si>
    <t>3.</t>
  </si>
  <si>
    <t>Общепроизводственные затраты, связанные с управлением и содержанием отдельных производственных служб</t>
  </si>
  <si>
    <t>4.</t>
  </si>
  <si>
    <t>5.</t>
  </si>
  <si>
    <t>6.</t>
  </si>
  <si>
    <t>7.</t>
  </si>
  <si>
    <t>Полная стоимость с учетом рентабельности</t>
  </si>
  <si>
    <t>8.</t>
  </si>
  <si>
    <t>Стоимость единицы услуги</t>
  </si>
  <si>
    <t>руб.</t>
  </si>
  <si>
    <t xml:space="preserve">Общехозяйственные затраты, необходимые для обеспечения деятельности муниципального учреждения </t>
  </si>
  <si>
    <t>специальная одежда и средства индивидуальной защиты:</t>
  </si>
  <si>
    <t>- костюм для защиты от общих производственных загрязнений (срок 2 года)</t>
  </si>
  <si>
    <t>средства на охрану труда:</t>
  </si>
  <si>
    <t>- перчатки с полимерным покрытием (12 пар на год)</t>
  </si>
  <si>
    <t>Норма времени на 1 сотку</t>
  </si>
  <si>
    <t>16881,6 руб.*12 / 1979 час.</t>
  </si>
  <si>
    <t>страховые взносы в фонды социального страхования, руб.</t>
  </si>
  <si>
    <t>- ботинки с защитным подноском (срок 2 года)</t>
  </si>
  <si>
    <t>742,5 руб./2 года /1979 час.</t>
  </si>
  <si>
    <t>1 м. на 1 час работы</t>
  </si>
  <si>
    <t>- леска для триммера</t>
  </si>
  <si>
    <t>30,0 руб. *12 пар /1979 час</t>
  </si>
  <si>
    <t>0,6 л/час * 49,1 руб.</t>
  </si>
  <si>
    <t>- масло, 2% от нормы топлива</t>
  </si>
  <si>
    <t>- бензин, 0,6 л.на 1 час работы бензотриммера</t>
  </si>
  <si>
    <t>0,1 л * 499,0 руб.литр</t>
  </si>
  <si>
    <t>Ремонт  механизмов, оборудования:</t>
  </si>
  <si>
    <t>4721,25 руб./ 1979 час.</t>
  </si>
  <si>
    <t xml:space="preserve">- щиток защитный </t>
  </si>
  <si>
    <t>450 руб./1979 час.</t>
  </si>
  <si>
    <t>А.А.Бровко</t>
  </si>
  <si>
    <t>Директор МКУ "Курчанский УЭЦ"</t>
  </si>
  <si>
    <t>Бухгалтер - экономист</t>
  </si>
  <si>
    <t>Н.В.Корзун</t>
  </si>
  <si>
    <t>3517 руб.*4 / 1979</t>
  </si>
  <si>
    <t>1.1.</t>
  </si>
  <si>
    <t>1.2.</t>
  </si>
  <si>
    <t>1.3.</t>
  </si>
  <si>
    <t>1.4.</t>
  </si>
  <si>
    <t>1.5.</t>
  </si>
  <si>
    <t>высота травяного покрова до 0,4 м.</t>
  </si>
  <si>
    <t>Материальные затраты на горюче-смазочные материалы:</t>
  </si>
  <si>
    <t>высота травяного покрова от 0,4 м. и более (К 1,2)</t>
  </si>
  <si>
    <t>8.1.</t>
  </si>
  <si>
    <t>Единица измерения / расчет</t>
  </si>
  <si>
    <t>заработная плата основного производственного  персонала, рабочий по благоустройству, руб/час</t>
  </si>
  <si>
    <t>заработная плата основного производственного  персонала, водитель-машинист автоподъемника, руб/час</t>
  </si>
  <si>
    <t xml:space="preserve">Калькуляция себестоимости                                                                                                                                                                       оказания услуг на выкашивание 1 сотки сорной растительности </t>
  </si>
  <si>
    <t>20760,40 руб.*12 / 1979 час.</t>
  </si>
  <si>
    <t>4828 руб.*4 / 1979</t>
  </si>
  <si>
    <t>1428 руб./ 2 года /1979 час.</t>
  </si>
  <si>
    <t>- костюм утепленный на прокладке (срок 3 года)</t>
  </si>
  <si>
    <t>1750 руб./ 3 года /1979 час.</t>
  </si>
  <si>
    <t>час.</t>
  </si>
  <si>
    <t>Дополнительные выплаты по коллективному договору</t>
  </si>
  <si>
    <t>32,4 л./100 км.*40 км.*49,1 руб.</t>
  </si>
  <si>
    <t>- бензин АИ-92 на работу механизма 4 час/день, норма расхода - 3,5 л./час</t>
  </si>
  <si>
    <t>3,5 л./час.*49,1 руб.</t>
  </si>
  <si>
    <t>0,14 л. * 113,0 руб. л. = 15,82 руб.                            0,1 л.* 148,37 руб. л. =  14,83 руб.</t>
  </si>
  <si>
    <t>- масло трансмиссионное (0,2 л/час) и гидравлическое (0,1л./час.)</t>
  </si>
  <si>
    <t>- масло трансмиссионное (0,14 л/час) и гидравлическое (0,1л./час.) на работу подъемного механизма</t>
  </si>
  <si>
    <t>12000 руб./ 1979 час.</t>
  </si>
  <si>
    <t xml:space="preserve">Калькуляция стоимости                                                                                                                                   одного машино - часа работы автоподъемника АПТ 17-М (3307) П-17 </t>
  </si>
  <si>
    <t>Амортизационные отчисления на полное восстановление, 60 мес.</t>
  </si>
  <si>
    <t>24990,0 / 5 лет /1979 час.</t>
  </si>
  <si>
    <t>0,2 л. * 113,0 руб. л. = 22,6 руб.                                                      0,1 л.*148,37 руб. л. = 14,83 руб.</t>
  </si>
  <si>
    <t>Амортизационные отчисления на полное восстановление, 120 мес.</t>
  </si>
  <si>
    <t>1.6.</t>
  </si>
  <si>
    <t>Износ и ремонт авторезины</t>
  </si>
  <si>
    <t>1.7.</t>
  </si>
  <si>
    <t>Прочие расходы потребляемые непосредственно на оказание услуги</t>
  </si>
  <si>
    <t>ОСАГО</t>
  </si>
  <si>
    <t>Транспортный налог</t>
  </si>
  <si>
    <t>6253,2 руб. /1979 час.</t>
  </si>
  <si>
    <t>2976 руб. / 1979 час.</t>
  </si>
  <si>
    <t>- бензин АИ-92 (летняя норма 32,0 л. на 100 км. 9 мес., зимняя норма 33,6 л. - 3 мес., среднегодовая норма 32,4 л.), средний пробег 40 км.</t>
  </si>
  <si>
    <t>828400 руб. /10 лет/1979 час.</t>
  </si>
  <si>
    <t>Калькуляция себестоимости                                                                                                                                                                       оказания услуг на валку деревьев в условиях населенных пунктов</t>
  </si>
  <si>
    <t>заработная плата основного производственного  персонала, рабочий по благоустройству, 2 чел., руб/час</t>
  </si>
  <si>
    <t>16881,6 руб.*12 / 1979 час.*2 чел.</t>
  </si>
  <si>
    <t>Дополнительные выплаты по коллективному договору, 2 чел.</t>
  </si>
  <si>
    <t>3517 руб.*4 / 1979 час.*2 чел.</t>
  </si>
  <si>
    <t>1428 руб./ 2 года /1979 час.* 2чел.</t>
  </si>
  <si>
    <t>1750 руб./3 года /1979 час*2 чел.</t>
  </si>
  <si>
    <t>742,5 руб./2 года /1979 час.*2 чел.</t>
  </si>
  <si>
    <t>30,0 руб. *12 пар /1979 час*2 чел.</t>
  </si>
  <si>
    <t>- бензин, 0,6 л.на 1 час работы бензопилы</t>
  </si>
  <si>
    <t>Амортизационные отчисления на полное восстановление, бензопила Штиль MS-318, 60 мес.</t>
  </si>
  <si>
    <t>К - коэффициент использования механизма в процессе выполнения работ</t>
  </si>
  <si>
    <t>Амортизационные отчисления на полное восстановление, высоторез Champion PP 126, 60 мес.</t>
  </si>
  <si>
    <t>- бензин, 0,6 л.на 1 час работы высотореза</t>
  </si>
  <si>
    <t>0,6 л/час * 49,1 руб. К=0,4</t>
  </si>
  <si>
    <t>0,1 л * 499,0 руб.литр К=0,4</t>
  </si>
  <si>
    <t>Калькуляция себестоимости                                                                                                                                                                       оказания услуг на формовочную и  санитарную обрезку деревьев в условиях населенных пунктов</t>
  </si>
  <si>
    <t>ремонт (капитальный, текущий) бензопила</t>
  </si>
  <si>
    <t>ремонт (капитальный, текущий) высоторез</t>
  </si>
  <si>
    <t>3000 руб./ 1979 час. К 0,4</t>
  </si>
  <si>
    <t xml:space="preserve">Работа автоподъемника АПТ 17-М (3307) П-17 (расчет стоимости 1 маш/часа) </t>
  </si>
  <si>
    <t>1.2.1.</t>
  </si>
  <si>
    <t>1.2.2.</t>
  </si>
  <si>
    <t>9.</t>
  </si>
  <si>
    <t>0,6 л/час * 49,1 руб. К=0,5</t>
  </si>
  <si>
    <t>0,1 л * 499,0 руб.литр К=0,5</t>
  </si>
  <si>
    <t>26807,0 / 5 лет /1979 час. К= 0,5</t>
  </si>
  <si>
    <t>23990,0 / 5 лет /1979 час. К= 0,4</t>
  </si>
  <si>
    <t>3000 руб./ 1979 час. К 0,5</t>
  </si>
  <si>
    <t>1105,87руб/час.* К= 0,5</t>
  </si>
  <si>
    <t>Норма времени на 1 дерево высотой до 8 м.</t>
  </si>
  <si>
    <t>- стоимость услуги</t>
  </si>
  <si>
    <t>Норма времени на 1 дерево высотой от 8 м. до 12 м.</t>
  </si>
  <si>
    <t>высота  до 8 м.</t>
  </si>
  <si>
    <t>высота от 8 м. до 12 м.</t>
  </si>
  <si>
    <t>заработная плата основного производственного  персонала, рабочий по благоустройству, 3 чел., руб/час</t>
  </si>
  <si>
    <t>Дополнительные выплаты по коллективному договору, 3 чел.</t>
  </si>
  <si>
    <t>Фонд оплаты труда :</t>
  </si>
  <si>
    <t>16881,6 руб.*12 / 1979 час.*3 чел.</t>
  </si>
  <si>
    <t>3517 руб.*4 / 1979 час.*3 чел.</t>
  </si>
  <si>
    <t>Норма времени на 1 дерево высотой от 12 м. до 17 м..</t>
  </si>
  <si>
    <t>Калькуляция себестоимости                                                                                                                                                                       оказания услуг на формовочную и  санитарную обрезку деревьев высотой  до 12 метров                                                                        в условиях населенных пунктов</t>
  </si>
  <si>
    <t>1105,87руб/час.* К= 0,3</t>
  </si>
  <si>
    <t>1428 руб./ 2 года /1979 час.* 3чел.</t>
  </si>
  <si>
    <t>1750 руб./3 года /1979 час*3 чел.</t>
  </si>
  <si>
    <t>742,5 руб./2 года /1979 час.*3 чел.</t>
  </si>
  <si>
    <t>30,0 руб. *12 пар /1979 час*3 чел.</t>
  </si>
  <si>
    <t>- бензин, 0,6 л.на 1 час работы сучкореза</t>
  </si>
  <si>
    <t>Амортизационные отчисления на полное восстановление, сучкорез НТ-101, 60 мес.</t>
  </si>
  <si>
    <t>23595 / 5 лет /1979 час. К= 0,4</t>
  </si>
  <si>
    <t>ремонт (капитальный, текущий) сучкорез</t>
  </si>
  <si>
    <t>- бензин, 0,6 л.на 1 час работы сучкорез</t>
  </si>
  <si>
    <t>1428 руб./ 2 года /1979 час.* 3 чел.</t>
  </si>
  <si>
    <t>Калькуляция себестоимости                                                                                                                                                                       оказания услуг на валку деревьев с распилом в условиях населенных пунктов</t>
  </si>
  <si>
    <t>Норма времени на 1 дерево высотой выше 12 метров</t>
  </si>
  <si>
    <t>Норма времени на 1 дерево высотой выше 12 метров с распилом</t>
  </si>
  <si>
    <t>Калькуляция себестоимости                                                                                                                                                                       одного часа работы рабочего по благоустройству</t>
  </si>
  <si>
    <t>Норма времени на 1 кв.метр кустарника</t>
  </si>
  <si>
    <t>Калькуляция себестоимости                                                                                                                                                                       оказания услуг на ликвидацию кустарников в условиях населенных пунктов</t>
  </si>
  <si>
    <t>Плановая рентабельность для населения</t>
  </si>
  <si>
    <t>Стоимость 1 часа работы рабочего по благоустройству для населения</t>
  </si>
  <si>
    <t>Плановая рентабельность для юридических лиц</t>
  </si>
  <si>
    <t>Стоимость 1 часа работы рабочего по благоустройству для юридических лиц</t>
  </si>
  <si>
    <t>8.2.</t>
  </si>
  <si>
    <t>Стоимость одного машино - часа работы  для населения</t>
  </si>
  <si>
    <t>Стоимость выкашивания 1 сотки для населения:</t>
  </si>
  <si>
    <t>Стоимость выкашивания 1 сотки для юридических лиц:</t>
  </si>
  <si>
    <t>10.</t>
  </si>
  <si>
    <t>11.</t>
  </si>
  <si>
    <t>12.</t>
  </si>
  <si>
    <t>13.</t>
  </si>
  <si>
    <t>13.1.</t>
  </si>
  <si>
    <t>13.2.</t>
  </si>
  <si>
    <t>Стоимость формовочной и санитарной обрезки одного дерева для юридических лиц:</t>
  </si>
  <si>
    <t>Стоимость формовочной и санитарной обрезки одного дерева для населения:</t>
  </si>
  <si>
    <t>Норма времени на 1 дерево высотой от 12 м. до 17 м.</t>
  </si>
  <si>
    <t>Стоимость валки одного дерева для населения:</t>
  </si>
  <si>
    <t>Стоимость валки одного дерева для юридических лиц:</t>
  </si>
  <si>
    <t>Стоимость валки одного дерева с распилом для населения:</t>
  </si>
  <si>
    <t>Стоимость валки одного дерева с распилом для юридических лиц:</t>
  </si>
  <si>
    <t>Стоимость валки одного дерева, высотрой выше 12 м. для населения</t>
  </si>
  <si>
    <t>Стоимость 1 м.кв. ликвидации кустарника для юридических лиц</t>
  </si>
  <si>
    <t>10.1.</t>
  </si>
  <si>
    <t>11.2.</t>
  </si>
  <si>
    <t>14.</t>
  </si>
  <si>
    <t>15.</t>
  </si>
  <si>
    <t>16.</t>
  </si>
  <si>
    <t>16.1.</t>
  </si>
  <si>
    <t>16.2.</t>
  </si>
  <si>
    <t>9.1.</t>
  </si>
  <si>
    <t>9.2.</t>
  </si>
  <si>
    <t>14.1.</t>
  </si>
  <si>
    <t>14.2.</t>
  </si>
  <si>
    <t>Стоимость валки одного дерева, высотрой выше 12 м. для юридических лиц</t>
  </si>
  <si>
    <t>Стоимость 1 м.кв. ликвидации кустарника для населения</t>
  </si>
  <si>
    <t>УТВЕРЖДАЮ                                                               глава Курчанского сельского поселения                                                               Темрюкского района                                                                            ___________________В.П.Гришков                                         ___________________ 2020 год</t>
  </si>
  <si>
    <t>УТВЕРЖДАЮ                                                               глава Курчанского сельского поселения                                             Темрюкского района                                                                            ___________________В.П.Гришков                                         ___________________ 2020 год</t>
  </si>
  <si>
    <t>УТВЕРЖДАЮ                                                               глава Курчанского сельского поселения                                            Темрюкского района                                                                            ___________________В.П.Гришков                                         ___________________ 2020 год</t>
  </si>
  <si>
    <t>УТВЕРЖДАЮ                                                               глава Курчанского сельского поселения                                                            Темрюкского района                                                                            ___________________В.П.Гришков                                         ___________________ 2020 год</t>
  </si>
  <si>
    <t>УТВЕРЖДАЮ                                                               глава Курчанского сельского поселения                                                      Темрюкского района                                                                            ___________________В.П.Гришков                                         ___________________ 2020 год</t>
  </si>
  <si>
    <t>УТВЕРЖДАЮ                                                               глава Курчанского сельского поселения                                                       Темрюкского района                                                                            ___________________В.П.Гришков                                         ___________________ 2020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</si>
</sst>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3" fontId="2" fillId="0" borderId="0" xfId="1" applyFont="1"/>
    <xf numFmtId="43" fontId="2" fillId="0" borderId="1" xfId="1" applyFont="1" applyBorder="1"/>
    <xf numFmtId="43" fontId="2" fillId="0" borderId="1" xfId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wrapText="1"/>
    </xf>
    <xf numFmtId="43" fontId="2" fillId="0" borderId="0" xfId="0" applyNumberFormat="1" applyFont="1"/>
    <xf numFmtId="43" fontId="2" fillId="0" borderId="0" xfId="1" applyFont="1" applyAlignment="1">
      <alignment horizontal="right"/>
    </xf>
    <xf numFmtId="0" fontId="2" fillId="0" borderId="1" xfId="0" applyFont="1" applyBorder="1" applyAlignment="1">
      <alignment horizontal="left" wrapText="1"/>
    </xf>
    <xf numFmtId="10" fontId="2" fillId="0" borderId="1" xfId="0" applyNumberFormat="1" applyFont="1" applyBorder="1" applyAlignment="1">
      <alignment horizontal="left" wrapText="1"/>
    </xf>
    <xf numFmtId="9" fontId="2" fillId="0" borderId="1" xfId="0" applyNumberFormat="1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14" fontId="2" fillId="0" borderId="1" xfId="0" applyNumberFormat="1" applyFont="1" applyBorder="1"/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49" fontId="3" fillId="0" borderId="2" xfId="0" applyNumberFormat="1" applyFont="1" applyBorder="1" applyAlignment="1">
      <alignment horizontal="left" wrapText="1"/>
    </xf>
    <xf numFmtId="0" fontId="2" fillId="0" borderId="0" xfId="0" applyFont="1" applyBorder="1"/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43" fontId="2" fillId="0" borderId="0" xfId="1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43" fontId="4" fillId="0" borderId="1" xfId="1" applyFont="1" applyBorder="1"/>
    <xf numFmtId="0" fontId="4" fillId="0" borderId="0" xfId="0" applyFont="1"/>
    <xf numFmtId="0" fontId="4" fillId="0" borderId="1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tabSelected="1" zoomScaleNormal="100" workbookViewId="0">
      <selection activeCell="C15" sqref="C15"/>
    </sheetView>
  </sheetViews>
  <sheetFormatPr defaultRowHeight="18"/>
  <cols>
    <col min="1" max="1" width="6.21875" style="2" customWidth="1"/>
    <col min="2" max="2" width="60.109375" style="9" customWidth="1"/>
    <col min="3" max="3" width="38.33203125" style="1" customWidth="1"/>
    <col min="4" max="4" width="19.88671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183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9.6" customHeight="1"/>
    <row r="6" spans="1:5" ht="40.799999999999997" customHeight="1">
      <c r="B6" s="22" t="s">
        <v>145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D10+D14+D21+D26+D27+D28</f>
        <v>541.1476409634497</v>
      </c>
    </row>
    <row r="10" spans="1:5">
      <c r="A10" s="3" t="s">
        <v>45</v>
      </c>
      <c r="B10" s="11" t="s">
        <v>124</v>
      </c>
      <c r="C10" s="14"/>
      <c r="D10" s="7">
        <f>SUM(D11:D13)</f>
        <v>284.45745770591208</v>
      </c>
    </row>
    <row r="11" spans="1:5" ht="54">
      <c r="A11" s="3"/>
      <c r="B11" s="11" t="s">
        <v>88</v>
      </c>
      <c r="C11" s="14" t="s">
        <v>89</v>
      </c>
      <c r="D11" s="7">
        <f>16881.6*12/1979*2</f>
        <v>204.72885295603839</v>
      </c>
    </row>
    <row r="12" spans="1:5" ht="36">
      <c r="A12" s="3"/>
      <c r="B12" s="11" t="s">
        <v>90</v>
      </c>
      <c r="C12" s="14" t="s">
        <v>91</v>
      </c>
      <c r="D12" s="7">
        <f>3517*4/1979*2</f>
        <v>14.217281455280444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65.511323294593225</v>
      </c>
    </row>
    <row r="14" spans="1:5">
      <c r="A14" s="3" t="s">
        <v>46</v>
      </c>
      <c r="B14" s="11" t="s">
        <v>7</v>
      </c>
      <c r="C14" s="14"/>
      <c r="D14" s="7">
        <f>D15+D19</f>
        <v>1.8625147380832074</v>
      </c>
    </row>
    <row r="15" spans="1:5" ht="36">
      <c r="A15" s="18" t="s">
        <v>108</v>
      </c>
      <c r="B15" s="11" t="s">
        <v>20</v>
      </c>
      <c r="C15" s="14"/>
      <c r="D15" s="7">
        <f>SUM(D16:D18)</f>
        <v>1.4986946269159511</v>
      </c>
    </row>
    <row r="16" spans="1:5" ht="36">
      <c r="A16" s="3"/>
      <c r="B16" s="11" t="s">
        <v>21</v>
      </c>
      <c r="C16" s="14" t="s">
        <v>92</v>
      </c>
      <c r="D16" s="7">
        <f>1428/2/1979*2</f>
        <v>0.72157655381505814</v>
      </c>
    </row>
    <row r="17" spans="1:7" ht="22.2" customHeight="1">
      <c r="A17" s="3"/>
      <c r="B17" s="11" t="s">
        <v>61</v>
      </c>
      <c r="C17" s="14" t="s">
        <v>93</v>
      </c>
      <c r="D17" s="7">
        <f>1750/3/1979*2</f>
        <v>0.58952332828027632</v>
      </c>
    </row>
    <row r="18" spans="1:7" ht="26.4" customHeight="1">
      <c r="A18" s="3"/>
      <c r="B18" s="11" t="s">
        <v>27</v>
      </c>
      <c r="C18" s="14" t="s">
        <v>94</v>
      </c>
      <c r="D18" s="7">
        <f>742.5/2/1979</f>
        <v>0.18759474482061647</v>
      </c>
    </row>
    <row r="19" spans="1:7">
      <c r="A19" s="3" t="s">
        <v>109</v>
      </c>
      <c r="B19" s="11" t="s">
        <v>22</v>
      </c>
      <c r="C19" s="14"/>
      <c r="D19" s="7">
        <f>SUM(D20:D20)</f>
        <v>0.36382011116725621</v>
      </c>
    </row>
    <row r="20" spans="1:7" ht="24" customHeight="1">
      <c r="A20" s="3"/>
      <c r="B20" s="11" t="s">
        <v>23</v>
      </c>
      <c r="C20" s="14" t="s">
        <v>95</v>
      </c>
      <c r="D20" s="7">
        <f>30*12/1979*2</f>
        <v>0.36382011116725621</v>
      </c>
    </row>
    <row r="21" spans="1:7" ht="36">
      <c r="A21" s="3" t="s">
        <v>47</v>
      </c>
      <c r="B21" s="11" t="s">
        <v>51</v>
      </c>
      <c r="C21" s="14"/>
      <c r="D21" s="7">
        <f>SUM(D22:D25)</f>
        <v>251.06400000000002</v>
      </c>
      <c r="G21" s="12"/>
    </row>
    <row r="22" spans="1:7" ht="22.8" customHeight="1">
      <c r="A22" s="3"/>
      <c r="B22" s="11" t="s">
        <v>96</v>
      </c>
      <c r="C22" s="14" t="s">
        <v>111</v>
      </c>
      <c r="D22" s="7">
        <f>0.6*49.1*0.5</f>
        <v>14.73</v>
      </c>
    </row>
    <row r="23" spans="1:7">
      <c r="A23" s="3"/>
      <c r="B23" s="11" t="s">
        <v>33</v>
      </c>
      <c r="C23" s="14" t="s">
        <v>112</v>
      </c>
      <c r="D23" s="7">
        <f>499*0.1*0.5</f>
        <v>24.950000000000003</v>
      </c>
    </row>
    <row r="24" spans="1:7" ht="22.8" customHeight="1">
      <c r="A24" s="3"/>
      <c r="B24" s="11" t="s">
        <v>134</v>
      </c>
      <c r="C24" s="14" t="s">
        <v>101</v>
      </c>
      <c r="D24" s="7">
        <f>0.6*49.1*0.4</f>
        <v>11.784000000000001</v>
      </c>
    </row>
    <row r="25" spans="1:7">
      <c r="A25" s="3"/>
      <c r="B25" s="11" t="s">
        <v>33</v>
      </c>
      <c r="C25" s="14" t="s">
        <v>102</v>
      </c>
      <c r="D25" s="7">
        <f>499*0.4</f>
        <v>199.60000000000002</v>
      </c>
    </row>
    <row r="26" spans="1:7" ht="36">
      <c r="A26" s="3" t="s">
        <v>48</v>
      </c>
      <c r="B26" s="11" t="s">
        <v>97</v>
      </c>
      <c r="C26" s="14" t="s">
        <v>113</v>
      </c>
      <c r="D26" s="7">
        <f>28607/5/1979*0.5</f>
        <v>1.4455280444669023</v>
      </c>
    </row>
    <row r="27" spans="1:7" ht="39.6" customHeight="1">
      <c r="A27" s="3" t="s">
        <v>49</v>
      </c>
      <c r="B27" s="11" t="s">
        <v>135</v>
      </c>
      <c r="C27" s="14" t="s">
        <v>136</v>
      </c>
      <c r="D27" s="7">
        <f>23595/5/1979*0.4</f>
        <v>0.95381505811015677</v>
      </c>
    </row>
    <row r="28" spans="1:7">
      <c r="A28" s="3" t="s">
        <v>77</v>
      </c>
      <c r="B28" s="11" t="s">
        <v>36</v>
      </c>
      <c r="C28" s="14"/>
      <c r="D28" s="7">
        <f>SUM(D29:D30)</f>
        <v>1.3643254168772108</v>
      </c>
    </row>
    <row r="29" spans="1:7">
      <c r="A29" s="3"/>
      <c r="B29" s="11" t="s">
        <v>104</v>
      </c>
      <c r="C29" s="14" t="s">
        <v>115</v>
      </c>
      <c r="D29" s="7">
        <f>3000/1979*0.5</f>
        <v>0.75795856493178371</v>
      </c>
    </row>
    <row r="30" spans="1:7">
      <c r="A30" s="3"/>
      <c r="B30" s="11" t="s">
        <v>137</v>
      </c>
      <c r="C30" s="14" t="s">
        <v>106</v>
      </c>
      <c r="D30" s="7">
        <f>3000/1979*0.4</f>
        <v>0.60636685194542705</v>
      </c>
    </row>
    <row r="31" spans="1:7" ht="54">
      <c r="A31" s="3" t="s">
        <v>9</v>
      </c>
      <c r="B31" s="11" t="s">
        <v>10</v>
      </c>
      <c r="C31" s="16">
        <v>0.03</v>
      </c>
      <c r="D31" s="7">
        <f>D10*C31</f>
        <v>8.5337237311773624</v>
      </c>
    </row>
    <row r="32" spans="1:7" ht="54">
      <c r="A32" s="3" t="s">
        <v>11</v>
      </c>
      <c r="B32" s="11" t="s">
        <v>19</v>
      </c>
      <c r="C32" s="16">
        <v>0.23</v>
      </c>
      <c r="D32" s="7">
        <f>D10*C32</f>
        <v>65.425215272359779</v>
      </c>
    </row>
    <row r="33" spans="1:4">
      <c r="A33" s="3" t="s">
        <v>12</v>
      </c>
      <c r="B33" s="11" t="s">
        <v>146</v>
      </c>
      <c r="C33" s="17">
        <v>0.05</v>
      </c>
      <c r="D33" s="7">
        <f>(D9+D31+D32)*C33</f>
        <v>30.755328998349341</v>
      </c>
    </row>
    <row r="34" spans="1:4">
      <c r="A34" s="3" t="s">
        <v>13</v>
      </c>
      <c r="B34" s="11" t="s">
        <v>15</v>
      </c>
      <c r="C34" s="14" t="s">
        <v>18</v>
      </c>
      <c r="D34" s="7">
        <f>D9+D31+D32+D33</f>
        <v>645.86190896533617</v>
      </c>
    </row>
    <row r="35" spans="1:4">
      <c r="A35" s="3" t="s">
        <v>14</v>
      </c>
      <c r="B35" s="11" t="s">
        <v>144</v>
      </c>
      <c r="C35" s="14" t="s">
        <v>63</v>
      </c>
      <c r="D35" s="7">
        <v>0.25</v>
      </c>
    </row>
    <row r="36" spans="1:4">
      <c r="A36" s="3"/>
      <c r="B36" s="11" t="s">
        <v>118</v>
      </c>
      <c r="C36" s="14" t="s">
        <v>18</v>
      </c>
      <c r="D36" s="7">
        <f>D35*D34</f>
        <v>161.46547724133404</v>
      </c>
    </row>
    <row r="37" spans="1:4" s="32" customFormat="1" ht="34.799999999999997">
      <c r="A37" s="28" t="s">
        <v>16</v>
      </c>
      <c r="B37" s="29" t="s">
        <v>181</v>
      </c>
      <c r="C37" s="30" t="s">
        <v>18</v>
      </c>
      <c r="D37" s="31">
        <v>160</v>
      </c>
    </row>
    <row r="38" spans="1:4">
      <c r="A38" s="3" t="s">
        <v>110</v>
      </c>
      <c r="B38" s="11" t="s">
        <v>148</v>
      </c>
      <c r="C38" s="17">
        <v>0.2</v>
      </c>
      <c r="D38" s="7">
        <f>(D9+D31+D32)*C38</f>
        <v>123.02131599339737</v>
      </c>
    </row>
    <row r="39" spans="1:4">
      <c r="A39" s="3" t="s">
        <v>154</v>
      </c>
      <c r="B39" s="11" t="s">
        <v>15</v>
      </c>
      <c r="C39" s="14" t="s">
        <v>18</v>
      </c>
      <c r="D39" s="7">
        <f>D9+D31+D32+D38</f>
        <v>738.12789596038419</v>
      </c>
    </row>
    <row r="40" spans="1:4">
      <c r="A40" s="3" t="s">
        <v>155</v>
      </c>
      <c r="B40" s="11" t="s">
        <v>144</v>
      </c>
      <c r="C40" s="14" t="s">
        <v>63</v>
      </c>
      <c r="D40" s="7">
        <v>0.25</v>
      </c>
    </row>
    <row r="41" spans="1:4">
      <c r="A41" s="3"/>
      <c r="B41" s="11" t="s">
        <v>118</v>
      </c>
      <c r="C41" s="14" t="s">
        <v>18</v>
      </c>
      <c r="D41" s="7">
        <f>D40*D39</f>
        <v>184.53197399009605</v>
      </c>
    </row>
    <row r="42" spans="1:4" s="32" customFormat="1" ht="34.799999999999997">
      <c r="A42" s="28">
        <v>12</v>
      </c>
      <c r="B42" s="29" t="s">
        <v>168</v>
      </c>
      <c r="C42" s="30" t="s">
        <v>18</v>
      </c>
      <c r="D42" s="31">
        <v>184</v>
      </c>
    </row>
    <row r="43" spans="1:4" ht="15.6" customHeight="1">
      <c r="B43" s="23" t="s">
        <v>98</v>
      </c>
      <c r="C43" s="23"/>
      <c r="D43" s="23"/>
    </row>
    <row r="44" spans="1:4" ht="15.6" customHeight="1">
      <c r="B44" s="19"/>
      <c r="C44" s="19"/>
      <c r="D44" s="19"/>
    </row>
    <row r="45" spans="1:4">
      <c r="B45" s="9" t="s">
        <v>41</v>
      </c>
      <c r="D45" s="13" t="s">
        <v>40</v>
      </c>
    </row>
    <row r="46" spans="1:4" ht="9.6" customHeight="1"/>
    <row r="47" spans="1:4">
      <c r="B47" s="9" t="s">
        <v>42</v>
      </c>
      <c r="D47" s="13" t="s">
        <v>43</v>
      </c>
    </row>
    <row r="49" spans="2:3" ht="32.4" customHeight="1">
      <c r="B49" s="20"/>
      <c r="C49" s="20"/>
    </row>
  </sheetData>
  <mergeCells count="3">
    <mergeCell ref="C1:D4"/>
    <mergeCell ref="B6:D6"/>
    <mergeCell ref="B43:D43"/>
  </mergeCells>
  <pageMargins left="1.1811023622047245" right="0.39370078740157483" top="0.78740157480314965" bottom="0.78740157480314965" header="0.31496062992125984" footer="0.31496062992125984"/>
  <pageSetup paperSize="9" scale="68" fitToHeight="0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G9" sqref="G9"/>
    </sheetView>
  </sheetViews>
  <sheetFormatPr defaultRowHeight="18"/>
  <cols>
    <col min="1" max="1" width="4.5546875" style="2" customWidth="1"/>
    <col min="2" max="2" width="60.109375" style="9" customWidth="1"/>
    <col min="3" max="3" width="34.21875" style="1" customWidth="1"/>
    <col min="4" max="4" width="22.5546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182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9.6" customHeight="1"/>
    <row r="6" spans="1:5" ht="37.799999999999997" customHeight="1">
      <c r="B6" s="22" t="s">
        <v>143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</f>
        <v>142.94857894559541</v>
      </c>
    </row>
    <row r="10" spans="1:5">
      <c r="A10" s="3" t="s">
        <v>45</v>
      </c>
      <c r="B10" s="11" t="s">
        <v>124</v>
      </c>
      <c r="C10" s="14"/>
      <c r="D10" s="7">
        <f>SUM(D11:D13)</f>
        <v>141.92352420414349</v>
      </c>
    </row>
    <row r="11" spans="1:5" ht="36">
      <c r="A11" s="3"/>
      <c r="B11" s="11" t="s">
        <v>55</v>
      </c>
      <c r="C11" s="14" t="s">
        <v>25</v>
      </c>
      <c r="D11" s="7">
        <f>16881.6*12/1979</f>
        <v>102.3644264780192</v>
      </c>
    </row>
    <row r="12" spans="1:5" ht="36">
      <c r="A12" s="3"/>
      <c r="B12" s="11" t="s">
        <v>64</v>
      </c>
      <c r="C12" s="14" t="s">
        <v>44</v>
      </c>
      <c r="D12" s="7">
        <f>3517*4/1979</f>
        <v>7.1086407276402221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32.450456998484078</v>
      </c>
    </row>
    <row r="14" spans="1:5">
      <c r="A14" s="3" t="s">
        <v>46</v>
      </c>
      <c r="B14" s="11" t="s">
        <v>7</v>
      </c>
      <c r="C14" s="14"/>
      <c r="D14" s="7">
        <f>D15+D19</f>
        <v>1.0250547414519118</v>
      </c>
    </row>
    <row r="15" spans="1:5" ht="36">
      <c r="A15" s="3"/>
      <c r="B15" s="11" t="s">
        <v>20</v>
      </c>
      <c r="C15" s="14"/>
      <c r="D15" s="7">
        <f>SUM(D16:D18)</f>
        <v>0.84314468586828373</v>
      </c>
    </row>
    <row r="16" spans="1:5" ht="36">
      <c r="A16" s="3"/>
      <c r="B16" s="11" t="s">
        <v>21</v>
      </c>
      <c r="C16" s="14" t="s">
        <v>60</v>
      </c>
      <c r="D16" s="7">
        <f>1428/2/1979</f>
        <v>0.36078827690752907</v>
      </c>
    </row>
    <row r="17" spans="1:4" ht="22.2" customHeight="1">
      <c r="A17" s="3"/>
      <c r="B17" s="11" t="s">
        <v>61</v>
      </c>
      <c r="C17" s="14" t="s">
        <v>62</v>
      </c>
      <c r="D17" s="7">
        <f>1750/3/1979</f>
        <v>0.29476166414013816</v>
      </c>
    </row>
    <row r="18" spans="1:4">
      <c r="A18" s="3"/>
      <c r="B18" s="11" t="s">
        <v>27</v>
      </c>
      <c r="C18" s="14" t="s">
        <v>28</v>
      </c>
      <c r="D18" s="7">
        <f>742.5/2/1979</f>
        <v>0.18759474482061647</v>
      </c>
    </row>
    <row r="19" spans="1:4">
      <c r="A19" s="3"/>
      <c r="B19" s="11" t="s">
        <v>22</v>
      </c>
      <c r="C19" s="14"/>
      <c r="D19" s="7">
        <f>SUM(D20:D20)</f>
        <v>0.18191005558362811</v>
      </c>
    </row>
    <row r="20" spans="1:4" ht="24" customHeight="1">
      <c r="A20" s="3"/>
      <c r="B20" s="11" t="s">
        <v>23</v>
      </c>
      <c r="C20" s="14" t="s">
        <v>31</v>
      </c>
      <c r="D20" s="7">
        <f>30*12/1979</f>
        <v>0.18191005558362811</v>
      </c>
    </row>
    <row r="21" spans="1:4" ht="54">
      <c r="A21" s="3" t="s">
        <v>5</v>
      </c>
      <c r="B21" s="11" t="s">
        <v>10</v>
      </c>
      <c r="C21" s="16">
        <v>0.03</v>
      </c>
      <c r="D21" s="7">
        <f>D10*C21</f>
        <v>4.2577057261243043</v>
      </c>
    </row>
    <row r="22" spans="1:4" ht="54">
      <c r="A22" s="3" t="s">
        <v>9</v>
      </c>
      <c r="B22" s="11" t="s">
        <v>19</v>
      </c>
      <c r="C22" s="16">
        <v>0.23</v>
      </c>
      <c r="D22" s="7">
        <f>D10*C22</f>
        <v>32.642410566953004</v>
      </c>
    </row>
    <row r="23" spans="1:4">
      <c r="A23" s="3" t="s">
        <v>11</v>
      </c>
      <c r="B23" s="11" t="s">
        <v>146</v>
      </c>
      <c r="C23" s="17">
        <v>0.1</v>
      </c>
      <c r="D23" s="7">
        <f>(D9+D21+D22)*C23</f>
        <v>17.984869523867271</v>
      </c>
    </row>
    <row r="24" spans="1:4">
      <c r="A24" s="3" t="s">
        <v>12</v>
      </c>
      <c r="B24" s="11" t="s">
        <v>15</v>
      </c>
      <c r="C24" s="14" t="s">
        <v>18</v>
      </c>
      <c r="D24" s="7">
        <f>D9+D21+D22+D23</f>
        <v>197.83356476253999</v>
      </c>
    </row>
    <row r="25" spans="1:4" s="32" customFormat="1" ht="34.799999999999997">
      <c r="A25" s="28" t="s">
        <v>13</v>
      </c>
      <c r="B25" s="29" t="s">
        <v>147</v>
      </c>
      <c r="C25" s="30" t="s">
        <v>18</v>
      </c>
      <c r="D25" s="31">
        <v>190</v>
      </c>
    </row>
    <row r="26" spans="1:4">
      <c r="A26" s="3" t="s">
        <v>14</v>
      </c>
      <c r="B26" s="11" t="s">
        <v>148</v>
      </c>
      <c r="C26" s="17">
        <v>0.2</v>
      </c>
      <c r="D26" s="7">
        <f>(D9+D21+D22)*C26</f>
        <v>35.969739047734542</v>
      </c>
    </row>
    <row r="27" spans="1:4">
      <c r="A27" s="3" t="s">
        <v>16</v>
      </c>
      <c r="B27" s="11" t="s">
        <v>15</v>
      </c>
      <c r="C27" s="14" t="s">
        <v>18</v>
      </c>
      <c r="D27" s="7">
        <f>D9+D21+D22+D26</f>
        <v>215.81843428640727</v>
      </c>
    </row>
    <row r="28" spans="1:4" s="32" customFormat="1" ht="34.799999999999997">
      <c r="A28" s="28" t="s">
        <v>110</v>
      </c>
      <c r="B28" s="29" t="s">
        <v>149</v>
      </c>
      <c r="C28" s="30" t="s">
        <v>18</v>
      </c>
      <c r="D28" s="31">
        <v>215</v>
      </c>
    </row>
    <row r="29" spans="1:4">
      <c r="A29" s="24"/>
      <c r="B29" s="25"/>
      <c r="C29" s="26"/>
      <c r="D29" s="27"/>
    </row>
    <row r="30" spans="1:4" ht="18.600000000000001" customHeight="1"/>
    <row r="31" spans="1:4">
      <c r="B31" s="9" t="s">
        <v>41</v>
      </c>
      <c r="D31" s="13" t="s">
        <v>40</v>
      </c>
    </row>
    <row r="32" spans="1:4" ht="15" customHeight="1"/>
    <row r="33" spans="2:4" ht="27" customHeight="1">
      <c r="B33" s="9" t="s">
        <v>42</v>
      </c>
      <c r="D33" s="13" t="s">
        <v>43</v>
      </c>
    </row>
    <row r="35" spans="2:4">
      <c r="B35" s="20"/>
    </row>
  </sheetData>
  <mergeCells count="2">
    <mergeCell ref="C1:D4"/>
    <mergeCell ref="B6:D6"/>
  </mergeCells>
  <pageMargins left="1.1811023622047245" right="0.39370078740157483" top="0.78740157480314965" bottom="0.78740157480314965" header="0.31496062992125984" footer="0.31496062992125984"/>
  <pageSetup paperSize="9" scale="7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workbookViewId="0">
      <selection activeCell="C1" sqref="C1:D4"/>
    </sheetView>
  </sheetViews>
  <sheetFormatPr defaultRowHeight="18"/>
  <cols>
    <col min="1" max="1" width="6.21875" style="2" customWidth="1"/>
    <col min="2" max="2" width="60.109375" style="9" customWidth="1"/>
    <col min="3" max="3" width="38.33203125" style="1" customWidth="1"/>
    <col min="4" max="4" width="19.88671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187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9.6" customHeight="1"/>
    <row r="6" spans="1:5" ht="43.2" customHeight="1">
      <c r="B6" s="22" t="s">
        <v>87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D10+D14+D21+D26+D27+D28+D31</f>
        <v>805.27122395149058</v>
      </c>
    </row>
    <row r="10" spans="1:5">
      <c r="A10" s="3" t="s">
        <v>45</v>
      </c>
      <c r="B10" s="11" t="s">
        <v>124</v>
      </c>
      <c r="C10" s="14"/>
      <c r="D10" s="7">
        <f>SUM(D11:D13)</f>
        <v>426.99139120768064</v>
      </c>
    </row>
    <row r="11" spans="1:5" ht="54">
      <c r="A11" s="3"/>
      <c r="B11" s="11" t="s">
        <v>122</v>
      </c>
      <c r="C11" s="14" t="s">
        <v>125</v>
      </c>
      <c r="D11" s="7">
        <f>16881.6*12/1979*3</f>
        <v>307.09327943405759</v>
      </c>
    </row>
    <row r="12" spans="1:5" ht="36">
      <c r="A12" s="3"/>
      <c r="B12" s="11" t="s">
        <v>123</v>
      </c>
      <c r="C12" s="14" t="s">
        <v>126</v>
      </c>
      <c r="D12" s="7">
        <f>3517*4/1979*3</f>
        <v>21.325922182920667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98.572189590702365</v>
      </c>
    </row>
    <row r="14" spans="1:5">
      <c r="A14" s="3" t="s">
        <v>46</v>
      </c>
      <c r="B14" s="11" t="s">
        <v>7</v>
      </c>
      <c r="C14" s="14"/>
      <c r="D14" s="7">
        <f>D15+D19</f>
        <v>3.0751642243557349</v>
      </c>
    </row>
    <row r="15" spans="1:5" ht="36">
      <c r="A15" s="18" t="s">
        <v>108</v>
      </c>
      <c r="B15" s="11" t="s">
        <v>20</v>
      </c>
      <c r="C15" s="14"/>
      <c r="D15" s="7">
        <f>SUM(D16:D18)</f>
        <v>2.5294340576048508</v>
      </c>
    </row>
    <row r="16" spans="1:5" ht="36">
      <c r="A16" s="3"/>
      <c r="B16" s="11" t="s">
        <v>21</v>
      </c>
      <c r="C16" s="14" t="s">
        <v>130</v>
      </c>
      <c r="D16" s="7">
        <f>1428/2/1979*3</f>
        <v>1.0823648307225873</v>
      </c>
    </row>
    <row r="17" spans="1:7" ht="22.2" customHeight="1">
      <c r="A17" s="3"/>
      <c r="B17" s="11" t="s">
        <v>61</v>
      </c>
      <c r="C17" s="14" t="s">
        <v>131</v>
      </c>
      <c r="D17" s="7">
        <f>1750/3/1979*3</f>
        <v>0.88428499242041447</v>
      </c>
    </row>
    <row r="18" spans="1:7" ht="26.4" customHeight="1">
      <c r="A18" s="3"/>
      <c r="B18" s="11" t="s">
        <v>27</v>
      </c>
      <c r="C18" s="14" t="s">
        <v>132</v>
      </c>
      <c r="D18" s="7">
        <f>742.5/2/1979*3</f>
        <v>0.56278423446184944</v>
      </c>
    </row>
    <row r="19" spans="1:7">
      <c r="A19" s="3" t="s">
        <v>109</v>
      </c>
      <c r="B19" s="11" t="s">
        <v>22</v>
      </c>
      <c r="C19" s="14"/>
      <c r="D19" s="7">
        <f>SUM(D20:D20)</f>
        <v>0.54573016675088426</v>
      </c>
    </row>
    <row r="20" spans="1:7" ht="24" customHeight="1">
      <c r="A20" s="3"/>
      <c r="B20" s="11" t="s">
        <v>23</v>
      </c>
      <c r="C20" s="14" t="s">
        <v>133</v>
      </c>
      <c r="D20" s="7">
        <f>30*12/1979*3</f>
        <v>0.54573016675088426</v>
      </c>
    </row>
    <row r="21" spans="1:7" ht="36">
      <c r="A21" s="3" t="s">
        <v>47</v>
      </c>
      <c r="B21" s="11" t="s">
        <v>51</v>
      </c>
      <c r="C21" s="14"/>
      <c r="D21" s="7">
        <f>D22+D23</f>
        <v>39.680000000000007</v>
      </c>
      <c r="G21" s="12"/>
    </row>
    <row r="22" spans="1:7" ht="22.8" customHeight="1">
      <c r="A22" s="3"/>
      <c r="B22" s="11" t="s">
        <v>96</v>
      </c>
      <c r="C22" s="14" t="s">
        <v>111</v>
      </c>
      <c r="D22" s="7">
        <f>0.6*49.1*0.5</f>
        <v>14.73</v>
      </c>
    </row>
    <row r="23" spans="1:7">
      <c r="A23" s="3"/>
      <c r="B23" s="11" t="s">
        <v>33</v>
      </c>
      <c r="C23" s="14" t="s">
        <v>112</v>
      </c>
      <c r="D23" s="7">
        <f>499*0.1*0.5</f>
        <v>24.950000000000003</v>
      </c>
    </row>
    <row r="24" spans="1:7" ht="22.8" customHeight="1">
      <c r="A24" s="3"/>
      <c r="B24" s="11" t="s">
        <v>138</v>
      </c>
      <c r="C24" s="14" t="s">
        <v>101</v>
      </c>
      <c r="D24" s="7">
        <f>0.6*49.1*0.4</f>
        <v>11.784000000000001</v>
      </c>
    </row>
    <row r="25" spans="1:7">
      <c r="A25" s="3"/>
      <c r="B25" s="11" t="s">
        <v>33</v>
      </c>
      <c r="C25" s="14" t="s">
        <v>102</v>
      </c>
      <c r="D25" s="7">
        <f>499*0.4</f>
        <v>199.60000000000002</v>
      </c>
    </row>
    <row r="26" spans="1:7" ht="36">
      <c r="A26" s="3" t="s">
        <v>48</v>
      </c>
      <c r="B26" s="11" t="s">
        <v>97</v>
      </c>
      <c r="C26" s="14" t="s">
        <v>113</v>
      </c>
      <c r="D26" s="7">
        <f>28607/5/1979*0.5</f>
        <v>1.4455280444669023</v>
      </c>
    </row>
    <row r="27" spans="1:7" ht="39.6" customHeight="1">
      <c r="A27" s="3" t="s">
        <v>49</v>
      </c>
      <c r="B27" s="11" t="s">
        <v>135</v>
      </c>
      <c r="C27" s="14" t="s">
        <v>136</v>
      </c>
      <c r="D27" s="7">
        <f>23595/5/1979*0.4</f>
        <v>0.95381505811015677</v>
      </c>
    </row>
    <row r="28" spans="1:7">
      <c r="A28" s="3" t="s">
        <v>77</v>
      </c>
      <c r="B28" s="11" t="s">
        <v>36</v>
      </c>
      <c r="C28" s="14"/>
      <c r="D28" s="7">
        <f>SUM(D29:D30)</f>
        <v>1.3643254168772108</v>
      </c>
    </row>
    <row r="29" spans="1:7">
      <c r="A29" s="3"/>
      <c r="B29" s="11" t="s">
        <v>104</v>
      </c>
      <c r="C29" s="14" t="s">
        <v>115</v>
      </c>
      <c r="D29" s="7">
        <f>3000/1979*0.5</f>
        <v>0.75795856493178371</v>
      </c>
    </row>
    <row r="30" spans="1:7">
      <c r="A30" s="3"/>
      <c r="B30" s="11" t="s">
        <v>137</v>
      </c>
      <c r="C30" s="14" t="s">
        <v>106</v>
      </c>
      <c r="D30" s="7">
        <f>3000/1979*0.4</f>
        <v>0.60636685194542705</v>
      </c>
    </row>
    <row r="31" spans="1:7" ht="36">
      <c r="A31" s="3" t="s">
        <v>5</v>
      </c>
      <c r="B31" s="11" t="s">
        <v>107</v>
      </c>
      <c r="C31" s="14" t="s">
        <v>129</v>
      </c>
      <c r="D31" s="7">
        <f>1105.87*0.3</f>
        <v>331.76099999999997</v>
      </c>
    </row>
    <row r="32" spans="1:7" ht="54">
      <c r="A32" s="3" t="s">
        <v>9</v>
      </c>
      <c r="B32" s="11" t="s">
        <v>10</v>
      </c>
      <c r="C32" s="16">
        <v>0.03</v>
      </c>
      <c r="D32" s="7">
        <f>D10*C32</f>
        <v>12.809741736230418</v>
      </c>
    </row>
    <row r="33" spans="1:4" ht="54">
      <c r="A33" s="3" t="s">
        <v>11</v>
      </c>
      <c r="B33" s="11" t="s">
        <v>19</v>
      </c>
      <c r="C33" s="16">
        <v>0.23</v>
      </c>
      <c r="D33" s="7">
        <f>D10*C33</f>
        <v>98.208019977766554</v>
      </c>
    </row>
    <row r="34" spans="1:4">
      <c r="A34" s="3" t="s">
        <v>12</v>
      </c>
      <c r="B34" s="11" t="s">
        <v>146</v>
      </c>
      <c r="C34" s="17">
        <v>0.05</v>
      </c>
      <c r="D34" s="7">
        <f>(D9+D32+D33)*C34</f>
        <v>45.814449283274378</v>
      </c>
    </row>
    <row r="35" spans="1:4">
      <c r="A35" s="3" t="s">
        <v>13</v>
      </c>
      <c r="B35" s="11" t="s">
        <v>15</v>
      </c>
      <c r="C35" s="14" t="s">
        <v>18</v>
      </c>
      <c r="D35" s="7">
        <f>D9+D32+D33+D34</f>
        <v>962.1034349487619</v>
      </c>
    </row>
    <row r="36" spans="1:4" ht="33.6" customHeight="1">
      <c r="A36" s="3" t="s">
        <v>14</v>
      </c>
      <c r="B36" s="11" t="s">
        <v>142</v>
      </c>
      <c r="C36" s="14" t="s">
        <v>63</v>
      </c>
      <c r="D36" s="7">
        <v>8</v>
      </c>
    </row>
    <row r="37" spans="1:4">
      <c r="A37" s="3"/>
      <c r="B37" s="11" t="s">
        <v>118</v>
      </c>
      <c r="C37" s="14" t="s">
        <v>18</v>
      </c>
      <c r="D37" s="7">
        <f>D35*D36</f>
        <v>7696.8274795900952</v>
      </c>
    </row>
    <row r="38" spans="1:4" s="32" customFormat="1" ht="35.4" customHeight="1">
      <c r="A38" s="28" t="s">
        <v>110</v>
      </c>
      <c r="B38" s="29" t="s">
        <v>167</v>
      </c>
      <c r="C38" s="30" t="s">
        <v>18</v>
      </c>
      <c r="D38" s="31">
        <v>7600</v>
      </c>
    </row>
    <row r="39" spans="1:4">
      <c r="A39" s="3" t="s">
        <v>12</v>
      </c>
      <c r="B39" s="11" t="s">
        <v>148</v>
      </c>
      <c r="C39" s="17">
        <v>0.2</v>
      </c>
      <c r="D39" s="7">
        <f>(D9+D32+D33)*C39</f>
        <v>183.25779713309751</v>
      </c>
    </row>
    <row r="40" spans="1:4">
      <c r="A40" s="3" t="s">
        <v>13</v>
      </c>
      <c r="B40" s="11" t="s">
        <v>15</v>
      </c>
      <c r="C40" s="14" t="s">
        <v>18</v>
      </c>
      <c r="D40" s="7">
        <f>D9+D32+D33+D39</f>
        <v>1099.5467827985851</v>
      </c>
    </row>
    <row r="41" spans="1:4" ht="33.6" customHeight="1">
      <c r="A41" s="3" t="s">
        <v>14</v>
      </c>
      <c r="B41" s="11" t="s">
        <v>142</v>
      </c>
      <c r="C41" s="14" t="s">
        <v>63</v>
      </c>
      <c r="D41" s="7">
        <v>8</v>
      </c>
    </row>
    <row r="42" spans="1:4">
      <c r="A42" s="3"/>
      <c r="B42" s="11" t="s">
        <v>118</v>
      </c>
      <c r="C42" s="14" t="s">
        <v>18</v>
      </c>
      <c r="D42" s="7">
        <f>D40*D41</f>
        <v>8796.374262388681</v>
      </c>
    </row>
    <row r="43" spans="1:4" s="32" customFormat="1" ht="37.200000000000003" customHeight="1">
      <c r="A43" s="28" t="s">
        <v>110</v>
      </c>
      <c r="B43" s="29" t="s">
        <v>180</v>
      </c>
      <c r="C43" s="30" t="s">
        <v>18</v>
      </c>
      <c r="D43" s="31">
        <v>8790</v>
      </c>
    </row>
    <row r="44" spans="1:4" ht="15.6" customHeight="1">
      <c r="B44" s="23" t="s">
        <v>98</v>
      </c>
      <c r="C44" s="23"/>
      <c r="D44" s="23"/>
    </row>
    <row r="45" spans="1:4" ht="15.6" customHeight="1">
      <c r="B45" s="19"/>
      <c r="C45" s="19"/>
      <c r="D45" s="19"/>
    </row>
    <row r="46" spans="1:4">
      <c r="B46" s="9" t="s">
        <v>41</v>
      </c>
      <c r="D46" s="13" t="s">
        <v>40</v>
      </c>
    </row>
    <row r="47" spans="1:4" ht="12.6" customHeight="1"/>
    <row r="48" spans="1:4">
      <c r="B48" s="9" t="s">
        <v>42</v>
      </c>
      <c r="D48" s="13" t="s">
        <v>43</v>
      </c>
    </row>
    <row r="50" spans="2:2">
      <c r="B50" s="20"/>
    </row>
  </sheetData>
  <mergeCells count="3">
    <mergeCell ref="C1:D4"/>
    <mergeCell ref="B6:D6"/>
    <mergeCell ref="B44:D44"/>
  </mergeCells>
  <pageMargins left="1.1811023622047245" right="0.39370078740157483" top="0.78740157480314965" bottom="0.78740157480314965" header="0.31496062992125984" footer="0.31496062992125984"/>
  <pageSetup paperSize="9" scale="68" fitToHeight="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workbookViewId="0">
      <selection activeCell="C8" sqref="C8"/>
    </sheetView>
  </sheetViews>
  <sheetFormatPr defaultRowHeight="18"/>
  <cols>
    <col min="1" max="1" width="6.21875" style="2" customWidth="1"/>
    <col min="2" max="2" width="60.109375" style="9" customWidth="1"/>
    <col min="3" max="3" width="38.33203125" style="1" customWidth="1"/>
    <col min="4" max="4" width="19.88671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186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9.6" customHeight="1"/>
    <row r="6" spans="1:5" ht="51.6" customHeight="1">
      <c r="B6" s="22" t="s">
        <v>87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D10+D14+D21+D26+D27+D28+D31</f>
        <v>805.27122395149058</v>
      </c>
    </row>
    <row r="10" spans="1:5">
      <c r="A10" s="3" t="s">
        <v>45</v>
      </c>
      <c r="B10" s="11" t="s">
        <v>124</v>
      </c>
      <c r="C10" s="14"/>
      <c r="D10" s="7">
        <f>SUM(D11:D13)</f>
        <v>426.99139120768064</v>
      </c>
    </row>
    <row r="11" spans="1:5" ht="54">
      <c r="A11" s="3"/>
      <c r="B11" s="11" t="s">
        <v>122</v>
      </c>
      <c r="C11" s="14" t="s">
        <v>125</v>
      </c>
      <c r="D11" s="7">
        <f>16881.6*12/1979*3</f>
        <v>307.09327943405759</v>
      </c>
    </row>
    <row r="12" spans="1:5" ht="36">
      <c r="A12" s="3"/>
      <c r="B12" s="11" t="s">
        <v>123</v>
      </c>
      <c r="C12" s="14" t="s">
        <v>126</v>
      </c>
      <c r="D12" s="7">
        <f>3517*4/1979*3</f>
        <v>21.325922182920667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98.572189590702365</v>
      </c>
    </row>
    <row r="14" spans="1:5">
      <c r="A14" s="3" t="s">
        <v>46</v>
      </c>
      <c r="B14" s="11" t="s">
        <v>7</v>
      </c>
      <c r="C14" s="14"/>
      <c r="D14" s="7">
        <f>D15+D19</f>
        <v>3.0751642243557349</v>
      </c>
    </row>
    <row r="15" spans="1:5" ht="36">
      <c r="A15" s="18" t="s">
        <v>108</v>
      </c>
      <c r="B15" s="11" t="s">
        <v>20</v>
      </c>
      <c r="C15" s="14"/>
      <c r="D15" s="7">
        <f>SUM(D16:D18)</f>
        <v>2.5294340576048508</v>
      </c>
    </row>
    <row r="16" spans="1:5" ht="36">
      <c r="A16" s="3"/>
      <c r="B16" s="11" t="s">
        <v>21</v>
      </c>
      <c r="C16" s="14" t="s">
        <v>130</v>
      </c>
      <c r="D16" s="7">
        <f>1428/2/1979*3</f>
        <v>1.0823648307225873</v>
      </c>
    </row>
    <row r="17" spans="1:7" ht="22.2" customHeight="1">
      <c r="A17" s="3"/>
      <c r="B17" s="11" t="s">
        <v>61</v>
      </c>
      <c r="C17" s="14" t="s">
        <v>131</v>
      </c>
      <c r="D17" s="7">
        <f>1750/3/1979*3</f>
        <v>0.88428499242041447</v>
      </c>
    </row>
    <row r="18" spans="1:7" ht="26.4" customHeight="1">
      <c r="A18" s="3"/>
      <c r="B18" s="11" t="s">
        <v>27</v>
      </c>
      <c r="C18" s="14" t="s">
        <v>132</v>
      </c>
      <c r="D18" s="7">
        <f>742.5/2/1979*3</f>
        <v>0.56278423446184944</v>
      </c>
    </row>
    <row r="19" spans="1:7">
      <c r="A19" s="3" t="s">
        <v>109</v>
      </c>
      <c r="B19" s="11" t="s">
        <v>22</v>
      </c>
      <c r="C19" s="14"/>
      <c r="D19" s="7">
        <f>SUM(D20:D20)</f>
        <v>0.54573016675088426</v>
      </c>
    </row>
    <row r="20" spans="1:7" ht="24" customHeight="1">
      <c r="A20" s="3"/>
      <c r="B20" s="11" t="s">
        <v>23</v>
      </c>
      <c r="C20" s="14" t="s">
        <v>133</v>
      </c>
      <c r="D20" s="7">
        <f>30*12/1979*3</f>
        <v>0.54573016675088426</v>
      </c>
    </row>
    <row r="21" spans="1:7" ht="36">
      <c r="A21" s="3" t="s">
        <v>47</v>
      </c>
      <c r="B21" s="11" t="s">
        <v>51</v>
      </c>
      <c r="C21" s="14"/>
      <c r="D21" s="7">
        <f>D22+D23</f>
        <v>39.680000000000007</v>
      </c>
      <c r="G21" s="12"/>
    </row>
    <row r="22" spans="1:7" ht="22.8" customHeight="1">
      <c r="A22" s="3"/>
      <c r="B22" s="11" t="s">
        <v>96</v>
      </c>
      <c r="C22" s="14" t="s">
        <v>111</v>
      </c>
      <c r="D22" s="7">
        <f>0.6*49.1*0.5</f>
        <v>14.73</v>
      </c>
    </row>
    <row r="23" spans="1:7">
      <c r="A23" s="3"/>
      <c r="B23" s="11" t="s">
        <v>33</v>
      </c>
      <c r="C23" s="14" t="s">
        <v>112</v>
      </c>
      <c r="D23" s="7">
        <f>499*0.1*0.5</f>
        <v>24.950000000000003</v>
      </c>
    </row>
    <row r="24" spans="1:7" ht="22.8" customHeight="1">
      <c r="A24" s="3"/>
      <c r="B24" s="11" t="s">
        <v>138</v>
      </c>
      <c r="C24" s="14" t="s">
        <v>101</v>
      </c>
      <c r="D24" s="7">
        <f>0.6*49.1*0.4</f>
        <v>11.784000000000001</v>
      </c>
    </row>
    <row r="25" spans="1:7">
      <c r="A25" s="3"/>
      <c r="B25" s="11" t="s">
        <v>33</v>
      </c>
      <c r="C25" s="14" t="s">
        <v>102</v>
      </c>
      <c r="D25" s="7">
        <f>499*0.4</f>
        <v>199.60000000000002</v>
      </c>
    </row>
    <row r="26" spans="1:7" ht="36">
      <c r="A26" s="3" t="s">
        <v>48</v>
      </c>
      <c r="B26" s="11" t="s">
        <v>97</v>
      </c>
      <c r="C26" s="14" t="s">
        <v>113</v>
      </c>
      <c r="D26" s="7">
        <f>28607/5/1979*0.5</f>
        <v>1.4455280444669023</v>
      </c>
    </row>
    <row r="27" spans="1:7" ht="39.6" customHeight="1">
      <c r="A27" s="3" t="s">
        <v>49</v>
      </c>
      <c r="B27" s="11" t="s">
        <v>135</v>
      </c>
      <c r="C27" s="14" t="s">
        <v>136</v>
      </c>
      <c r="D27" s="7">
        <f>23595/5/1979*0.4</f>
        <v>0.95381505811015677</v>
      </c>
    </row>
    <row r="28" spans="1:7">
      <c r="A28" s="3" t="s">
        <v>77</v>
      </c>
      <c r="B28" s="11" t="s">
        <v>36</v>
      </c>
      <c r="C28" s="14"/>
      <c r="D28" s="7">
        <f>SUM(D29:D30)</f>
        <v>1.3643254168772108</v>
      </c>
    </row>
    <row r="29" spans="1:7">
      <c r="A29" s="3"/>
      <c r="B29" s="11" t="s">
        <v>104</v>
      </c>
      <c r="C29" s="14" t="s">
        <v>115</v>
      </c>
      <c r="D29" s="7">
        <f>3000/1979*0.5</f>
        <v>0.75795856493178371</v>
      </c>
    </row>
    <row r="30" spans="1:7">
      <c r="A30" s="3"/>
      <c r="B30" s="11" t="s">
        <v>137</v>
      </c>
      <c r="C30" s="14" t="s">
        <v>106</v>
      </c>
      <c r="D30" s="7">
        <f>3000/1979*0.4</f>
        <v>0.60636685194542705</v>
      </c>
    </row>
    <row r="31" spans="1:7" ht="36">
      <c r="A31" s="3" t="s">
        <v>5</v>
      </c>
      <c r="B31" s="11" t="s">
        <v>107</v>
      </c>
      <c r="C31" s="14" t="s">
        <v>129</v>
      </c>
      <c r="D31" s="7">
        <f>1105.87*0.3</f>
        <v>331.76099999999997</v>
      </c>
    </row>
    <row r="32" spans="1:7" ht="54">
      <c r="A32" s="3" t="s">
        <v>9</v>
      </c>
      <c r="B32" s="11" t="s">
        <v>10</v>
      </c>
      <c r="C32" s="16">
        <v>0.03</v>
      </c>
      <c r="D32" s="7">
        <f>D10*C32</f>
        <v>12.809741736230418</v>
      </c>
    </row>
    <row r="33" spans="1:4" ht="54">
      <c r="A33" s="3" t="s">
        <v>11</v>
      </c>
      <c r="B33" s="11" t="s">
        <v>19</v>
      </c>
      <c r="C33" s="16">
        <v>0.23</v>
      </c>
      <c r="D33" s="7">
        <f>D10*C33</f>
        <v>98.208019977766554</v>
      </c>
    </row>
    <row r="34" spans="1:4">
      <c r="A34" s="3" t="s">
        <v>12</v>
      </c>
      <c r="B34" s="11" t="s">
        <v>146</v>
      </c>
      <c r="C34" s="17">
        <v>0.05</v>
      </c>
      <c r="D34" s="7">
        <f>(D9+D32+D33)*C34</f>
        <v>45.814449283274378</v>
      </c>
    </row>
    <row r="35" spans="1:4">
      <c r="A35" s="3" t="s">
        <v>13</v>
      </c>
      <c r="B35" s="11" t="s">
        <v>15</v>
      </c>
      <c r="C35" s="14" t="s">
        <v>18</v>
      </c>
      <c r="D35" s="7">
        <f>D9+D32+D33+D34</f>
        <v>962.1034349487619</v>
      </c>
    </row>
    <row r="36" spans="1:4" ht="27.6" customHeight="1">
      <c r="A36" s="3" t="s">
        <v>14</v>
      </c>
      <c r="B36" s="11" t="s">
        <v>141</v>
      </c>
      <c r="C36" s="14" t="s">
        <v>63</v>
      </c>
      <c r="D36" s="7">
        <v>7</v>
      </c>
    </row>
    <row r="37" spans="1:4">
      <c r="A37" s="3"/>
      <c r="B37" s="11" t="s">
        <v>118</v>
      </c>
      <c r="C37" s="14" t="s">
        <v>18</v>
      </c>
      <c r="D37" s="7">
        <f>D35*D36</f>
        <v>6734.7240446413334</v>
      </c>
    </row>
    <row r="38" spans="1:4" s="32" customFormat="1" ht="37.200000000000003" customHeight="1">
      <c r="A38" s="28" t="s">
        <v>110</v>
      </c>
      <c r="B38" s="29" t="s">
        <v>167</v>
      </c>
      <c r="C38" s="30"/>
      <c r="D38" s="31">
        <v>6700</v>
      </c>
    </row>
    <row r="39" spans="1:4">
      <c r="A39" s="3" t="s">
        <v>154</v>
      </c>
      <c r="B39" s="11" t="s">
        <v>148</v>
      </c>
      <c r="C39" s="17">
        <v>0.2</v>
      </c>
      <c r="D39" s="7">
        <f>(D9+D32+D33)*C39</f>
        <v>183.25779713309751</v>
      </c>
    </row>
    <row r="40" spans="1:4">
      <c r="A40" s="3" t="s">
        <v>155</v>
      </c>
      <c r="B40" s="11" t="s">
        <v>15</v>
      </c>
      <c r="C40" s="14" t="s">
        <v>18</v>
      </c>
      <c r="D40" s="7">
        <f>D9+D32+D33+D39</f>
        <v>1099.5467827985851</v>
      </c>
    </row>
    <row r="41" spans="1:4" ht="27.6" customHeight="1">
      <c r="A41" s="3" t="s">
        <v>156</v>
      </c>
      <c r="B41" s="11" t="s">
        <v>141</v>
      </c>
      <c r="C41" s="14" t="s">
        <v>63</v>
      </c>
      <c r="D41" s="7">
        <v>7</v>
      </c>
    </row>
    <row r="42" spans="1:4">
      <c r="A42" s="3"/>
      <c r="B42" s="11" t="s">
        <v>118</v>
      </c>
      <c r="C42" s="14" t="s">
        <v>18</v>
      </c>
      <c r="D42" s="7">
        <f>D40*D41</f>
        <v>7696.8274795900961</v>
      </c>
    </row>
    <row r="43" spans="1:4" s="32" customFormat="1" ht="32.4" customHeight="1">
      <c r="A43" s="28" t="s">
        <v>157</v>
      </c>
      <c r="B43" s="29" t="s">
        <v>180</v>
      </c>
      <c r="C43" s="30"/>
      <c r="D43" s="31">
        <v>7690</v>
      </c>
    </row>
    <row r="44" spans="1:4" ht="15.6" customHeight="1">
      <c r="B44" s="23" t="s">
        <v>98</v>
      </c>
      <c r="C44" s="23"/>
      <c r="D44" s="23"/>
    </row>
    <row r="45" spans="1:4" ht="15.6" customHeight="1">
      <c r="B45" s="19"/>
      <c r="C45" s="19"/>
      <c r="D45" s="19"/>
    </row>
    <row r="46" spans="1:4">
      <c r="B46" s="9" t="s">
        <v>41</v>
      </c>
      <c r="D46" s="13" t="s">
        <v>40</v>
      </c>
    </row>
    <row r="47" spans="1:4" ht="9.6" customHeight="1"/>
    <row r="48" spans="1:4">
      <c r="B48" s="9" t="s">
        <v>42</v>
      </c>
      <c r="D48" s="13" t="s">
        <v>43</v>
      </c>
    </row>
    <row r="50" spans="2:2">
      <c r="B50" s="20"/>
    </row>
  </sheetData>
  <mergeCells count="3">
    <mergeCell ref="C1:D4"/>
    <mergeCell ref="B6:D6"/>
    <mergeCell ref="B44:D44"/>
  </mergeCells>
  <pageMargins left="1.1811023622047245" right="0.39370078740157483" top="0.78740157480314965" bottom="0.78740157480314965" header="0.31496062992125984" footer="0.31496062992125984"/>
  <pageSetup paperSize="9" scale="68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"/>
  <sheetViews>
    <sheetView topLeftCell="A34" workbookViewId="0">
      <selection activeCell="D11" sqref="D11"/>
    </sheetView>
  </sheetViews>
  <sheetFormatPr defaultRowHeight="18"/>
  <cols>
    <col min="1" max="1" width="6.21875" style="2" customWidth="1"/>
    <col min="2" max="2" width="60.109375" style="9" customWidth="1"/>
    <col min="3" max="3" width="38.33203125" style="1" customWidth="1"/>
    <col min="4" max="4" width="19.88671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185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9.6" customHeight="1"/>
    <row r="6" spans="1:5" ht="54" customHeight="1">
      <c r="B6" s="22" t="s">
        <v>140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D10+D14+D21+D26+D27+D28+D31</f>
        <v>661.52464096344954</v>
      </c>
    </row>
    <row r="10" spans="1:5">
      <c r="A10" s="3" t="s">
        <v>45</v>
      </c>
      <c r="B10" s="11" t="s">
        <v>124</v>
      </c>
      <c r="C10" s="14"/>
      <c r="D10" s="7">
        <f>SUM(D11:D13)</f>
        <v>284.45745770591208</v>
      </c>
    </row>
    <row r="11" spans="1:5" ht="54">
      <c r="A11" s="3"/>
      <c r="B11" s="11" t="s">
        <v>88</v>
      </c>
      <c r="C11" s="14" t="s">
        <v>89</v>
      </c>
      <c r="D11" s="7">
        <f>16881.6*12/1979*2</f>
        <v>204.72885295603839</v>
      </c>
    </row>
    <row r="12" spans="1:5" ht="36">
      <c r="A12" s="3"/>
      <c r="B12" s="11" t="s">
        <v>90</v>
      </c>
      <c r="C12" s="14" t="s">
        <v>91</v>
      </c>
      <c r="D12" s="7">
        <f>3517*4/1979*2</f>
        <v>14.217281455280444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65.511323294593225</v>
      </c>
    </row>
    <row r="14" spans="1:5">
      <c r="A14" s="3" t="s">
        <v>46</v>
      </c>
      <c r="B14" s="11" t="s">
        <v>7</v>
      </c>
      <c r="C14" s="14"/>
      <c r="D14" s="7">
        <f>D15+D19</f>
        <v>1.8625147380832074</v>
      </c>
    </row>
    <row r="15" spans="1:5" ht="36">
      <c r="A15" s="18" t="s">
        <v>108</v>
      </c>
      <c r="B15" s="11" t="s">
        <v>20</v>
      </c>
      <c r="C15" s="14"/>
      <c r="D15" s="7">
        <f>SUM(D16:D18)</f>
        <v>1.4986946269159511</v>
      </c>
    </row>
    <row r="16" spans="1:5" ht="36">
      <c r="A16" s="3"/>
      <c r="B16" s="11" t="s">
        <v>21</v>
      </c>
      <c r="C16" s="14" t="s">
        <v>92</v>
      </c>
      <c r="D16" s="7">
        <f>1428/2/1979*2</f>
        <v>0.72157655381505814</v>
      </c>
    </row>
    <row r="17" spans="1:7" ht="22.2" customHeight="1">
      <c r="A17" s="3"/>
      <c r="B17" s="11" t="s">
        <v>61</v>
      </c>
      <c r="C17" s="14" t="s">
        <v>93</v>
      </c>
      <c r="D17" s="7">
        <f>1750/3/1979*2</f>
        <v>0.58952332828027632</v>
      </c>
    </row>
    <row r="18" spans="1:7" ht="26.4" customHeight="1">
      <c r="A18" s="3"/>
      <c r="B18" s="11" t="s">
        <v>27</v>
      </c>
      <c r="C18" s="14" t="s">
        <v>94</v>
      </c>
      <c r="D18" s="7">
        <f>742.5/2/1979</f>
        <v>0.18759474482061647</v>
      </c>
    </row>
    <row r="19" spans="1:7">
      <c r="A19" s="3" t="s">
        <v>109</v>
      </c>
      <c r="B19" s="11" t="s">
        <v>22</v>
      </c>
      <c r="C19" s="14"/>
      <c r="D19" s="7">
        <f>SUM(D20:D20)</f>
        <v>0.36382011116725621</v>
      </c>
    </row>
    <row r="20" spans="1:7" ht="24" customHeight="1">
      <c r="A20" s="3"/>
      <c r="B20" s="11" t="s">
        <v>23</v>
      </c>
      <c r="C20" s="14" t="s">
        <v>95</v>
      </c>
      <c r="D20" s="7">
        <f>30*12/1979*2</f>
        <v>0.36382011116725621</v>
      </c>
    </row>
    <row r="21" spans="1:7" ht="36">
      <c r="A21" s="3" t="s">
        <v>47</v>
      </c>
      <c r="B21" s="11" t="s">
        <v>51</v>
      </c>
      <c r="C21" s="14"/>
      <c r="D21" s="7">
        <f>D22+D23</f>
        <v>39.680000000000007</v>
      </c>
      <c r="G21" s="12"/>
    </row>
    <row r="22" spans="1:7" ht="22.8" customHeight="1">
      <c r="A22" s="3"/>
      <c r="B22" s="11" t="s">
        <v>96</v>
      </c>
      <c r="C22" s="14" t="s">
        <v>111</v>
      </c>
      <c r="D22" s="7">
        <f>0.6*49.1*0.5</f>
        <v>14.73</v>
      </c>
    </row>
    <row r="23" spans="1:7">
      <c r="A23" s="3"/>
      <c r="B23" s="11" t="s">
        <v>33</v>
      </c>
      <c r="C23" s="14" t="s">
        <v>112</v>
      </c>
      <c r="D23" s="7">
        <f>499*0.1*0.5</f>
        <v>24.950000000000003</v>
      </c>
    </row>
    <row r="24" spans="1:7" ht="22.8" customHeight="1">
      <c r="A24" s="3"/>
      <c r="B24" s="11" t="s">
        <v>138</v>
      </c>
      <c r="C24" s="14" t="s">
        <v>101</v>
      </c>
      <c r="D24" s="7">
        <f>0.6*49.1*0.4</f>
        <v>11.784000000000001</v>
      </c>
    </row>
    <row r="25" spans="1:7">
      <c r="A25" s="3"/>
      <c r="B25" s="11" t="s">
        <v>33</v>
      </c>
      <c r="C25" s="14" t="s">
        <v>102</v>
      </c>
      <c r="D25" s="7">
        <f>499*0.4</f>
        <v>199.60000000000002</v>
      </c>
    </row>
    <row r="26" spans="1:7" ht="36">
      <c r="A26" s="3" t="s">
        <v>48</v>
      </c>
      <c r="B26" s="11" t="s">
        <v>97</v>
      </c>
      <c r="C26" s="14" t="s">
        <v>113</v>
      </c>
      <c r="D26" s="7">
        <f>28607/5/1979*0.5</f>
        <v>1.4455280444669023</v>
      </c>
    </row>
    <row r="27" spans="1:7" ht="39.6" customHeight="1">
      <c r="A27" s="3" t="s">
        <v>49</v>
      </c>
      <c r="B27" s="11" t="s">
        <v>135</v>
      </c>
      <c r="C27" s="14" t="s">
        <v>136</v>
      </c>
      <c r="D27" s="7">
        <f>23595/5/1979*0.4</f>
        <v>0.95381505811015677</v>
      </c>
    </row>
    <row r="28" spans="1:7">
      <c r="A28" s="3" t="s">
        <v>77</v>
      </c>
      <c r="B28" s="11" t="s">
        <v>36</v>
      </c>
      <c r="C28" s="14"/>
      <c r="D28" s="7">
        <f>SUM(D29:D30)</f>
        <v>1.3643254168772108</v>
      </c>
    </row>
    <row r="29" spans="1:7">
      <c r="A29" s="3"/>
      <c r="B29" s="11" t="s">
        <v>104</v>
      </c>
      <c r="C29" s="14" t="s">
        <v>115</v>
      </c>
      <c r="D29" s="7">
        <f>3000/1979*0.5</f>
        <v>0.75795856493178371</v>
      </c>
    </row>
    <row r="30" spans="1:7">
      <c r="A30" s="3"/>
      <c r="B30" s="11" t="s">
        <v>137</v>
      </c>
      <c r="C30" s="14" t="s">
        <v>106</v>
      </c>
      <c r="D30" s="7">
        <f>3000/1979*0.4</f>
        <v>0.60636685194542705</v>
      </c>
    </row>
    <row r="31" spans="1:7" ht="36">
      <c r="A31" s="3" t="s">
        <v>5</v>
      </c>
      <c r="B31" s="11" t="s">
        <v>107</v>
      </c>
      <c r="C31" s="14" t="s">
        <v>129</v>
      </c>
      <c r="D31" s="7">
        <f>1105.87*0.3</f>
        <v>331.76099999999997</v>
      </c>
    </row>
    <row r="32" spans="1:7" ht="54">
      <c r="A32" s="3" t="s">
        <v>9</v>
      </c>
      <c r="B32" s="11" t="s">
        <v>10</v>
      </c>
      <c r="C32" s="16">
        <v>0.03</v>
      </c>
      <c r="D32" s="7">
        <f>D10*C32</f>
        <v>8.5337237311773624</v>
      </c>
    </row>
    <row r="33" spans="1:4" ht="54">
      <c r="A33" s="3" t="s">
        <v>11</v>
      </c>
      <c r="B33" s="11" t="s">
        <v>19</v>
      </c>
      <c r="C33" s="16">
        <v>0.23</v>
      </c>
      <c r="D33" s="7">
        <f>D10*C33</f>
        <v>65.425215272359779</v>
      </c>
    </row>
    <row r="34" spans="1:4">
      <c r="A34" s="3" t="s">
        <v>12</v>
      </c>
      <c r="B34" s="11" t="s">
        <v>146</v>
      </c>
      <c r="C34" s="17">
        <v>0.05</v>
      </c>
      <c r="D34" s="7">
        <f>(D9+D32+D33)*C34</f>
        <v>36.774178998349335</v>
      </c>
    </row>
    <row r="35" spans="1:4">
      <c r="A35" s="3" t="s">
        <v>13</v>
      </c>
      <c r="B35" s="11" t="s">
        <v>15</v>
      </c>
      <c r="C35" s="14" t="s">
        <v>18</v>
      </c>
      <c r="D35" s="7">
        <f>D9+D32+D33+D34</f>
        <v>772.25775896533605</v>
      </c>
    </row>
    <row r="36" spans="1:4">
      <c r="A36" s="3" t="s">
        <v>14</v>
      </c>
      <c r="B36" s="11" t="s">
        <v>117</v>
      </c>
      <c r="C36" s="14" t="s">
        <v>63</v>
      </c>
      <c r="D36" s="7">
        <v>4</v>
      </c>
    </row>
    <row r="37" spans="1:4">
      <c r="A37" s="3"/>
      <c r="B37" s="11" t="s">
        <v>118</v>
      </c>
      <c r="C37" s="14" t="s">
        <v>18</v>
      </c>
      <c r="D37" s="7">
        <f>D36*D35</f>
        <v>3089.0310358613442</v>
      </c>
    </row>
    <row r="38" spans="1:4">
      <c r="A38" s="3" t="s">
        <v>16</v>
      </c>
      <c r="B38" s="11" t="s">
        <v>119</v>
      </c>
      <c r="C38" s="14" t="s">
        <v>63</v>
      </c>
      <c r="D38" s="7">
        <v>6</v>
      </c>
    </row>
    <row r="39" spans="1:4">
      <c r="A39" s="3"/>
      <c r="B39" s="11" t="s">
        <v>118</v>
      </c>
      <c r="C39" s="14" t="s">
        <v>18</v>
      </c>
      <c r="D39" s="7">
        <f>D35*D38</f>
        <v>4633.5465537920163</v>
      </c>
    </row>
    <row r="40" spans="1:4" s="32" customFormat="1" ht="34.799999999999997">
      <c r="A40" s="28" t="s">
        <v>110</v>
      </c>
      <c r="B40" s="29" t="s">
        <v>165</v>
      </c>
      <c r="C40" s="30"/>
      <c r="D40" s="31"/>
    </row>
    <row r="41" spans="1:4" s="32" customFormat="1" ht="17.399999999999999">
      <c r="A41" s="28" t="s">
        <v>176</v>
      </c>
      <c r="B41" s="29" t="s">
        <v>120</v>
      </c>
      <c r="C41" s="30" t="s">
        <v>18</v>
      </c>
      <c r="D41" s="31">
        <v>3000</v>
      </c>
    </row>
    <row r="42" spans="1:4" s="32" customFormat="1" ht="19.8" customHeight="1">
      <c r="A42" s="28" t="s">
        <v>177</v>
      </c>
      <c r="B42" s="29" t="s">
        <v>121</v>
      </c>
      <c r="C42" s="33" t="s">
        <v>18</v>
      </c>
      <c r="D42" s="31">
        <v>4600</v>
      </c>
    </row>
    <row r="43" spans="1:4">
      <c r="A43" s="3" t="s">
        <v>154</v>
      </c>
      <c r="B43" s="11" t="s">
        <v>148</v>
      </c>
      <c r="C43" s="17">
        <v>0.2</v>
      </c>
      <c r="D43" s="7">
        <f>(D9+D32+D33)*C43</f>
        <v>147.09671599339734</v>
      </c>
    </row>
    <row r="44" spans="1:4">
      <c r="A44" s="3" t="s">
        <v>155</v>
      </c>
      <c r="B44" s="11" t="s">
        <v>15</v>
      </c>
      <c r="C44" s="14" t="s">
        <v>18</v>
      </c>
      <c r="D44" s="7">
        <f>D9+D32+D33+D43</f>
        <v>882.58029596038398</v>
      </c>
    </row>
    <row r="45" spans="1:4">
      <c r="A45" s="3" t="s">
        <v>156</v>
      </c>
      <c r="B45" s="11" t="s">
        <v>117</v>
      </c>
      <c r="C45" s="14" t="s">
        <v>63</v>
      </c>
      <c r="D45" s="7">
        <v>4</v>
      </c>
    </row>
    <row r="46" spans="1:4">
      <c r="A46" s="3"/>
      <c r="B46" s="11" t="s">
        <v>118</v>
      </c>
      <c r="C46" s="14" t="s">
        <v>18</v>
      </c>
      <c r="D46" s="7">
        <f>D45*D44</f>
        <v>3530.3211838415359</v>
      </c>
    </row>
    <row r="47" spans="1:4">
      <c r="A47" s="3" t="s">
        <v>157</v>
      </c>
      <c r="B47" s="11" t="s">
        <v>119</v>
      </c>
      <c r="C47" s="14" t="s">
        <v>63</v>
      </c>
      <c r="D47" s="7">
        <v>6</v>
      </c>
    </row>
    <row r="48" spans="1:4">
      <c r="A48" s="3"/>
      <c r="B48" s="11" t="s">
        <v>118</v>
      </c>
      <c r="C48" s="14" t="s">
        <v>18</v>
      </c>
      <c r="D48" s="7">
        <f>D44*D47</f>
        <v>5295.4817757623041</v>
      </c>
    </row>
    <row r="49" spans="1:4" s="32" customFormat="1" ht="34.799999999999997">
      <c r="A49" s="28" t="s">
        <v>171</v>
      </c>
      <c r="B49" s="29" t="s">
        <v>166</v>
      </c>
      <c r="C49" s="30"/>
      <c r="D49" s="31"/>
    </row>
    <row r="50" spans="1:4" s="32" customFormat="1" ht="17.399999999999999">
      <c r="A50" s="28" t="s">
        <v>178</v>
      </c>
      <c r="B50" s="29" t="s">
        <v>120</v>
      </c>
      <c r="C50" s="30" t="s">
        <v>18</v>
      </c>
      <c r="D50" s="31">
        <v>3530</v>
      </c>
    </row>
    <row r="51" spans="1:4" s="32" customFormat="1" ht="19.8" customHeight="1">
      <c r="A51" s="28" t="s">
        <v>179</v>
      </c>
      <c r="B51" s="29" t="s">
        <v>121</v>
      </c>
      <c r="C51" s="33" t="s">
        <v>18</v>
      </c>
      <c r="D51" s="31">
        <v>5295</v>
      </c>
    </row>
    <row r="52" spans="1:4" ht="15.6" customHeight="1">
      <c r="B52" s="23" t="s">
        <v>98</v>
      </c>
      <c r="C52" s="23"/>
      <c r="D52" s="23"/>
    </row>
    <row r="53" spans="1:4">
      <c r="B53" s="9" t="s">
        <v>41</v>
      </c>
      <c r="D53" s="13" t="s">
        <v>40</v>
      </c>
    </row>
    <row r="54" spans="1:4" ht="9.6" customHeight="1"/>
    <row r="55" spans="1:4">
      <c r="B55" s="9" t="s">
        <v>42</v>
      </c>
      <c r="D55" s="13" t="s">
        <v>43</v>
      </c>
    </row>
    <row r="57" spans="1:4">
      <c r="B57" s="20"/>
    </row>
  </sheetData>
  <mergeCells count="3">
    <mergeCell ref="C1:D4"/>
    <mergeCell ref="B6:D6"/>
    <mergeCell ref="B52:D52"/>
  </mergeCells>
  <pageMargins left="1.1811023622047245" right="0.39370078740157483" top="0.78740157480314965" bottom="0.78740157480314965" header="0.31496062992125984" footer="0.31496062992125984"/>
  <pageSetup paperSize="9" scale="68" fitToHeight="0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workbookViewId="0">
      <selection activeCell="C12" sqref="C12"/>
    </sheetView>
  </sheetViews>
  <sheetFormatPr defaultRowHeight="18"/>
  <cols>
    <col min="1" max="1" width="6.21875" style="2" customWidth="1"/>
    <col min="2" max="2" width="60.109375" style="9" customWidth="1"/>
    <col min="3" max="3" width="38.33203125" style="1" customWidth="1"/>
    <col min="4" max="4" width="19.88671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184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9.6" customHeight="1"/>
    <row r="6" spans="1:5" ht="42.6" customHeight="1">
      <c r="B6" s="22" t="s">
        <v>87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D10+D14+D21+D26+D27+D28+D31</f>
        <v>661.52464096344954</v>
      </c>
    </row>
    <row r="10" spans="1:5">
      <c r="A10" s="3" t="s">
        <v>45</v>
      </c>
      <c r="B10" s="11" t="s">
        <v>124</v>
      </c>
      <c r="C10" s="14"/>
      <c r="D10" s="7">
        <f>SUM(D11:D13)</f>
        <v>284.45745770591208</v>
      </c>
    </row>
    <row r="11" spans="1:5" ht="54">
      <c r="A11" s="3"/>
      <c r="B11" s="11" t="s">
        <v>88</v>
      </c>
      <c r="C11" s="14" t="s">
        <v>89</v>
      </c>
      <c r="D11" s="7">
        <f>16881.6*12/1979*2</f>
        <v>204.72885295603839</v>
      </c>
    </row>
    <row r="12" spans="1:5" ht="36">
      <c r="A12" s="3"/>
      <c r="B12" s="11" t="s">
        <v>90</v>
      </c>
      <c r="C12" s="14" t="s">
        <v>91</v>
      </c>
      <c r="D12" s="7">
        <f>3517*4/1979*2</f>
        <v>14.217281455280444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65.511323294593225</v>
      </c>
    </row>
    <row r="14" spans="1:5">
      <c r="A14" s="3" t="s">
        <v>46</v>
      </c>
      <c r="B14" s="11" t="s">
        <v>7</v>
      </c>
      <c r="C14" s="14"/>
      <c r="D14" s="7">
        <f>D15+D19</f>
        <v>1.8625147380832074</v>
      </c>
    </row>
    <row r="15" spans="1:5" ht="36">
      <c r="A15" s="18" t="s">
        <v>108</v>
      </c>
      <c r="B15" s="11" t="s">
        <v>20</v>
      </c>
      <c r="C15" s="14"/>
      <c r="D15" s="7">
        <f>SUM(D16:D18)</f>
        <v>1.4986946269159511</v>
      </c>
    </row>
    <row r="16" spans="1:5" ht="36">
      <c r="A16" s="3"/>
      <c r="B16" s="11" t="s">
        <v>21</v>
      </c>
      <c r="C16" s="14" t="s">
        <v>92</v>
      </c>
      <c r="D16" s="7">
        <f>1428/2/1979*2</f>
        <v>0.72157655381505814</v>
      </c>
    </row>
    <row r="17" spans="1:7" ht="22.2" customHeight="1">
      <c r="A17" s="3"/>
      <c r="B17" s="11" t="s">
        <v>61</v>
      </c>
      <c r="C17" s="14" t="s">
        <v>93</v>
      </c>
      <c r="D17" s="7">
        <f>1750/3/1979*2</f>
        <v>0.58952332828027632</v>
      </c>
    </row>
    <row r="18" spans="1:7" ht="26.4" customHeight="1">
      <c r="A18" s="3"/>
      <c r="B18" s="11" t="s">
        <v>27</v>
      </c>
      <c r="C18" s="14" t="s">
        <v>94</v>
      </c>
      <c r="D18" s="7">
        <f>742.5/2/1979</f>
        <v>0.18759474482061647</v>
      </c>
    </row>
    <row r="19" spans="1:7">
      <c r="A19" s="3" t="s">
        <v>109</v>
      </c>
      <c r="B19" s="11" t="s">
        <v>22</v>
      </c>
      <c r="C19" s="14"/>
      <c r="D19" s="7">
        <f>SUM(D20:D20)</f>
        <v>0.36382011116725621</v>
      </c>
    </row>
    <row r="20" spans="1:7" ht="24" customHeight="1">
      <c r="A20" s="3"/>
      <c r="B20" s="11" t="s">
        <v>23</v>
      </c>
      <c r="C20" s="14" t="s">
        <v>95</v>
      </c>
      <c r="D20" s="7">
        <f>30*12/1979*2</f>
        <v>0.36382011116725621</v>
      </c>
    </row>
    <row r="21" spans="1:7" ht="36">
      <c r="A21" s="3" t="s">
        <v>47</v>
      </c>
      <c r="B21" s="11" t="s">
        <v>51</v>
      </c>
      <c r="C21" s="14"/>
      <c r="D21" s="7">
        <f>D22+D23</f>
        <v>39.680000000000007</v>
      </c>
      <c r="G21" s="12"/>
    </row>
    <row r="22" spans="1:7" ht="22.8" customHeight="1">
      <c r="A22" s="3"/>
      <c r="B22" s="11" t="s">
        <v>96</v>
      </c>
      <c r="C22" s="14" t="s">
        <v>111</v>
      </c>
      <c r="D22" s="7">
        <f>0.6*49.1*0.5</f>
        <v>14.73</v>
      </c>
    </row>
    <row r="23" spans="1:7">
      <c r="A23" s="3"/>
      <c r="B23" s="11" t="s">
        <v>33</v>
      </c>
      <c r="C23" s="14" t="s">
        <v>112</v>
      </c>
      <c r="D23" s="7">
        <f>499*0.1*0.5</f>
        <v>24.950000000000003</v>
      </c>
    </row>
    <row r="24" spans="1:7" ht="22.8" customHeight="1">
      <c r="A24" s="3"/>
      <c r="B24" s="11" t="s">
        <v>134</v>
      </c>
      <c r="C24" s="14" t="s">
        <v>101</v>
      </c>
      <c r="D24" s="7">
        <f>0.6*49.1*0.4</f>
        <v>11.784000000000001</v>
      </c>
    </row>
    <row r="25" spans="1:7">
      <c r="A25" s="3"/>
      <c r="B25" s="11" t="s">
        <v>33</v>
      </c>
      <c r="C25" s="14" t="s">
        <v>102</v>
      </c>
      <c r="D25" s="7">
        <f>499*0.4</f>
        <v>199.60000000000002</v>
      </c>
    </row>
    <row r="26" spans="1:7" ht="36">
      <c r="A26" s="3" t="s">
        <v>48</v>
      </c>
      <c r="B26" s="11" t="s">
        <v>97</v>
      </c>
      <c r="C26" s="14" t="s">
        <v>113</v>
      </c>
      <c r="D26" s="7">
        <f>28607/5/1979*0.5</f>
        <v>1.4455280444669023</v>
      </c>
    </row>
    <row r="27" spans="1:7" ht="39.6" customHeight="1">
      <c r="A27" s="3" t="s">
        <v>49</v>
      </c>
      <c r="B27" s="11" t="s">
        <v>135</v>
      </c>
      <c r="C27" s="14" t="s">
        <v>136</v>
      </c>
      <c r="D27" s="7">
        <f>23595/5/1979*0.4</f>
        <v>0.95381505811015677</v>
      </c>
    </row>
    <row r="28" spans="1:7">
      <c r="A28" s="3" t="s">
        <v>77</v>
      </c>
      <c r="B28" s="11" t="s">
        <v>36</v>
      </c>
      <c r="C28" s="14"/>
      <c r="D28" s="7">
        <f>SUM(D29:D30)</f>
        <v>1.3643254168772108</v>
      </c>
    </row>
    <row r="29" spans="1:7">
      <c r="A29" s="3"/>
      <c r="B29" s="11" t="s">
        <v>104</v>
      </c>
      <c r="C29" s="14" t="s">
        <v>115</v>
      </c>
      <c r="D29" s="7">
        <f>3000/1979*0.5</f>
        <v>0.75795856493178371</v>
      </c>
    </row>
    <row r="30" spans="1:7">
      <c r="A30" s="3"/>
      <c r="B30" s="11" t="s">
        <v>137</v>
      </c>
      <c r="C30" s="14" t="s">
        <v>106</v>
      </c>
      <c r="D30" s="7">
        <f>3000/1979*0.4</f>
        <v>0.60636685194542705</v>
      </c>
    </row>
    <row r="31" spans="1:7" ht="36">
      <c r="A31" s="3" t="s">
        <v>5</v>
      </c>
      <c r="B31" s="11" t="s">
        <v>107</v>
      </c>
      <c r="C31" s="14" t="s">
        <v>129</v>
      </c>
      <c r="D31" s="7">
        <f>1105.87*0.3</f>
        <v>331.76099999999997</v>
      </c>
    </row>
    <row r="32" spans="1:7" ht="54">
      <c r="A32" s="3" t="s">
        <v>9</v>
      </c>
      <c r="B32" s="11" t="s">
        <v>10</v>
      </c>
      <c r="C32" s="16">
        <v>0.03</v>
      </c>
      <c r="D32" s="7">
        <f>D10*C32</f>
        <v>8.5337237311773624</v>
      </c>
    </row>
    <row r="33" spans="1:4" ht="54">
      <c r="A33" s="3" t="s">
        <v>11</v>
      </c>
      <c r="B33" s="11" t="s">
        <v>19</v>
      </c>
      <c r="C33" s="16">
        <v>0.23</v>
      </c>
      <c r="D33" s="7">
        <f>D10*C33</f>
        <v>65.425215272359779</v>
      </c>
    </row>
    <row r="34" spans="1:4">
      <c r="A34" s="3" t="s">
        <v>12</v>
      </c>
      <c r="B34" s="11" t="s">
        <v>146</v>
      </c>
      <c r="C34" s="17">
        <v>0.05</v>
      </c>
      <c r="D34" s="7">
        <f>(D9+D32+D33)*C34</f>
        <v>36.774178998349335</v>
      </c>
    </row>
    <row r="35" spans="1:4">
      <c r="A35" s="3" t="s">
        <v>13</v>
      </c>
      <c r="B35" s="11" t="s">
        <v>15</v>
      </c>
      <c r="C35" s="14" t="s">
        <v>18</v>
      </c>
      <c r="D35" s="7">
        <f>D9+D32+D33+D34</f>
        <v>772.25775896533605</v>
      </c>
    </row>
    <row r="36" spans="1:4">
      <c r="A36" s="3" t="s">
        <v>14</v>
      </c>
      <c r="B36" s="11" t="s">
        <v>117</v>
      </c>
      <c r="C36" s="14" t="s">
        <v>63</v>
      </c>
      <c r="D36" s="7">
        <v>3</v>
      </c>
    </row>
    <row r="37" spans="1:4">
      <c r="A37" s="3"/>
      <c r="B37" s="11" t="s">
        <v>118</v>
      </c>
      <c r="C37" s="14" t="s">
        <v>18</v>
      </c>
      <c r="D37" s="7">
        <f>D36*D35</f>
        <v>2316.7732768960082</v>
      </c>
    </row>
    <row r="38" spans="1:4">
      <c r="A38" s="3" t="s">
        <v>16</v>
      </c>
      <c r="B38" s="11" t="s">
        <v>119</v>
      </c>
      <c r="C38" s="14" t="s">
        <v>63</v>
      </c>
      <c r="D38" s="7">
        <v>5</v>
      </c>
    </row>
    <row r="39" spans="1:4">
      <c r="A39" s="3"/>
      <c r="B39" s="11" t="s">
        <v>118</v>
      </c>
      <c r="C39" s="14" t="s">
        <v>18</v>
      </c>
      <c r="D39" s="7">
        <f>D35*D38</f>
        <v>3861.2887948266803</v>
      </c>
    </row>
    <row r="40" spans="1:4" s="32" customFormat="1" ht="17.399999999999999">
      <c r="A40" s="28" t="s">
        <v>110</v>
      </c>
      <c r="B40" s="29" t="s">
        <v>163</v>
      </c>
      <c r="C40" s="30"/>
      <c r="D40" s="31"/>
    </row>
    <row r="41" spans="1:4" s="32" customFormat="1" ht="17.399999999999999">
      <c r="A41" s="28" t="s">
        <v>169</v>
      </c>
      <c r="B41" s="29" t="s">
        <v>120</v>
      </c>
      <c r="C41" s="30" t="s">
        <v>18</v>
      </c>
      <c r="D41" s="31">
        <v>2300</v>
      </c>
    </row>
    <row r="42" spans="1:4" s="32" customFormat="1" ht="19.8" customHeight="1">
      <c r="A42" s="28" t="s">
        <v>170</v>
      </c>
      <c r="B42" s="29" t="s">
        <v>121</v>
      </c>
      <c r="C42" s="33" t="s">
        <v>18</v>
      </c>
      <c r="D42" s="31">
        <v>3800</v>
      </c>
    </row>
    <row r="43" spans="1:4">
      <c r="A43" s="3" t="s">
        <v>156</v>
      </c>
      <c r="B43" s="11" t="s">
        <v>148</v>
      </c>
      <c r="C43" s="17">
        <v>0.2</v>
      </c>
      <c r="D43" s="7">
        <f>(D9+D32+D33)*C43</f>
        <v>147.09671599339734</v>
      </c>
    </row>
    <row r="44" spans="1:4">
      <c r="A44" s="3" t="s">
        <v>157</v>
      </c>
      <c r="B44" s="11" t="s">
        <v>15</v>
      </c>
      <c r="C44" s="14" t="s">
        <v>18</v>
      </c>
      <c r="D44" s="7">
        <f>D9+D32+D33+D43</f>
        <v>882.58029596038398</v>
      </c>
    </row>
    <row r="45" spans="1:4">
      <c r="A45" s="3" t="s">
        <v>171</v>
      </c>
      <c r="B45" s="11" t="s">
        <v>117</v>
      </c>
      <c r="C45" s="14" t="s">
        <v>63</v>
      </c>
      <c r="D45" s="7">
        <v>3</v>
      </c>
    </row>
    <row r="46" spans="1:4">
      <c r="A46" s="3"/>
      <c r="B46" s="11" t="s">
        <v>118</v>
      </c>
      <c r="C46" s="14" t="s">
        <v>18</v>
      </c>
      <c r="D46" s="7">
        <f>D45*D44</f>
        <v>2647.740887881152</v>
      </c>
    </row>
    <row r="47" spans="1:4">
      <c r="A47" s="3" t="s">
        <v>172</v>
      </c>
      <c r="B47" s="11" t="s">
        <v>119</v>
      </c>
      <c r="C47" s="14" t="s">
        <v>63</v>
      </c>
      <c r="D47" s="7">
        <v>5</v>
      </c>
    </row>
    <row r="48" spans="1:4">
      <c r="A48" s="3"/>
      <c r="B48" s="11" t="s">
        <v>118</v>
      </c>
      <c r="C48" s="14" t="s">
        <v>18</v>
      </c>
      <c r="D48" s="7">
        <f>D44*D47</f>
        <v>4412.9014798019198</v>
      </c>
    </row>
    <row r="49" spans="1:4" s="32" customFormat="1" ht="34.799999999999997">
      <c r="A49" s="28" t="s">
        <v>173</v>
      </c>
      <c r="B49" s="29" t="s">
        <v>164</v>
      </c>
      <c r="C49" s="30"/>
      <c r="D49" s="31"/>
    </row>
    <row r="50" spans="1:4" s="32" customFormat="1" ht="17.399999999999999">
      <c r="A50" s="28" t="s">
        <v>174</v>
      </c>
      <c r="B50" s="29" t="s">
        <v>120</v>
      </c>
      <c r="C50" s="30" t="s">
        <v>18</v>
      </c>
      <c r="D50" s="31">
        <v>2640</v>
      </c>
    </row>
    <row r="51" spans="1:4" s="32" customFormat="1" ht="19.8" customHeight="1">
      <c r="A51" s="28" t="s">
        <v>175</v>
      </c>
      <c r="B51" s="29" t="s">
        <v>121</v>
      </c>
      <c r="C51" s="33" t="s">
        <v>18</v>
      </c>
      <c r="D51" s="31">
        <v>4410</v>
      </c>
    </row>
    <row r="52" spans="1:4" ht="15.6" customHeight="1">
      <c r="B52" s="23" t="s">
        <v>98</v>
      </c>
      <c r="C52" s="23"/>
      <c r="D52" s="23"/>
    </row>
    <row r="53" spans="1:4" ht="15.6" customHeight="1">
      <c r="B53" s="19"/>
      <c r="C53" s="19"/>
      <c r="D53" s="19"/>
    </row>
    <row r="54" spans="1:4">
      <c r="B54" s="9" t="s">
        <v>41</v>
      </c>
      <c r="D54" s="13" t="s">
        <v>40</v>
      </c>
    </row>
    <row r="55" spans="1:4" ht="9.6" customHeight="1"/>
    <row r="56" spans="1:4">
      <c r="B56" s="9" t="s">
        <v>42</v>
      </c>
      <c r="D56" s="13" t="s">
        <v>43</v>
      </c>
    </row>
    <row r="58" spans="1:4">
      <c r="B58" s="20"/>
    </row>
  </sheetData>
  <mergeCells count="3">
    <mergeCell ref="C1:D4"/>
    <mergeCell ref="B6:D6"/>
    <mergeCell ref="B52:D52"/>
  </mergeCells>
  <pageMargins left="1.1811023622047245" right="0.39370078740157483" top="0.78740157480314965" bottom="0.78740157480314965" header="0.31496062992125984" footer="0.31496062992125984"/>
  <pageSetup paperSize="9" scale="68" fitToHeight="0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workbookViewId="0">
      <selection activeCell="C8" sqref="C8"/>
    </sheetView>
  </sheetViews>
  <sheetFormatPr defaultRowHeight="18"/>
  <cols>
    <col min="1" max="1" width="6.21875" style="2" customWidth="1"/>
    <col min="2" max="2" width="60.109375" style="9" customWidth="1"/>
    <col min="3" max="3" width="38.33203125" style="1" customWidth="1"/>
    <col min="4" max="4" width="19.88671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183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9.6" customHeight="1"/>
    <row r="6" spans="1:5" ht="40.799999999999997" customHeight="1">
      <c r="B6" s="22" t="s">
        <v>103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D10+D14+D21+D26+D27+D28+D31</f>
        <v>1026.4611916119252</v>
      </c>
    </row>
    <row r="10" spans="1:5">
      <c r="A10" s="3" t="s">
        <v>45</v>
      </c>
      <c r="B10" s="11" t="s">
        <v>124</v>
      </c>
      <c r="C10" s="14"/>
      <c r="D10" s="7">
        <f>SUM(D11:D13)</f>
        <v>426.99139120768064</v>
      </c>
    </row>
    <row r="11" spans="1:5" ht="54">
      <c r="A11" s="3"/>
      <c r="B11" s="11" t="s">
        <v>122</v>
      </c>
      <c r="C11" s="14" t="s">
        <v>125</v>
      </c>
      <c r="D11" s="7">
        <f>16881.6*12/1979*3</f>
        <v>307.09327943405759</v>
      </c>
    </row>
    <row r="12" spans="1:5" ht="36">
      <c r="A12" s="3"/>
      <c r="B12" s="11" t="s">
        <v>123</v>
      </c>
      <c r="C12" s="14" t="s">
        <v>126</v>
      </c>
      <c r="D12" s="7">
        <f>3517*4/1979*3</f>
        <v>21.325922182920667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98.572189590702365</v>
      </c>
    </row>
    <row r="14" spans="1:5">
      <c r="A14" s="3" t="s">
        <v>46</v>
      </c>
      <c r="B14" s="11" t="s">
        <v>7</v>
      </c>
      <c r="C14" s="14"/>
      <c r="D14" s="7">
        <f>D15+D19</f>
        <v>3.0751642243557349</v>
      </c>
    </row>
    <row r="15" spans="1:5" ht="36">
      <c r="A15" s="18" t="s">
        <v>108</v>
      </c>
      <c r="B15" s="11" t="s">
        <v>20</v>
      </c>
      <c r="C15" s="14"/>
      <c r="D15" s="7">
        <f>SUM(D16:D18)</f>
        <v>2.5294340576048508</v>
      </c>
    </row>
    <row r="16" spans="1:5" ht="36">
      <c r="A16" s="3"/>
      <c r="B16" s="11" t="s">
        <v>21</v>
      </c>
      <c r="C16" s="14" t="s">
        <v>139</v>
      </c>
      <c r="D16" s="7">
        <f>1428/2/1979*3</f>
        <v>1.0823648307225873</v>
      </c>
    </row>
    <row r="17" spans="1:7" ht="22.2" customHeight="1">
      <c r="A17" s="3"/>
      <c r="B17" s="11" t="s">
        <v>61</v>
      </c>
      <c r="C17" s="14" t="s">
        <v>131</v>
      </c>
      <c r="D17" s="7">
        <f>1750/3/1979*3</f>
        <v>0.88428499242041447</v>
      </c>
    </row>
    <row r="18" spans="1:7" ht="26.4" customHeight="1">
      <c r="A18" s="3"/>
      <c r="B18" s="11" t="s">
        <v>27</v>
      </c>
      <c r="C18" s="14" t="s">
        <v>132</v>
      </c>
      <c r="D18" s="7">
        <f>742.5/2/1979*3</f>
        <v>0.56278423446184944</v>
      </c>
    </row>
    <row r="19" spans="1:7">
      <c r="A19" s="3" t="s">
        <v>109</v>
      </c>
      <c r="B19" s="11" t="s">
        <v>22</v>
      </c>
      <c r="C19" s="14"/>
      <c r="D19" s="7">
        <f>SUM(D20:D20)</f>
        <v>0.54573016675088426</v>
      </c>
    </row>
    <row r="20" spans="1:7" ht="24" customHeight="1">
      <c r="A20" s="3"/>
      <c r="B20" s="11" t="s">
        <v>23</v>
      </c>
      <c r="C20" s="14" t="s">
        <v>133</v>
      </c>
      <c r="D20" s="7">
        <f>30*12/1979*3</f>
        <v>0.54573016675088426</v>
      </c>
    </row>
    <row r="21" spans="1:7" ht="36">
      <c r="A21" s="3" t="s">
        <v>47</v>
      </c>
      <c r="B21" s="11" t="s">
        <v>51</v>
      </c>
      <c r="C21" s="14"/>
      <c r="D21" s="7">
        <f>D22+D23</f>
        <v>39.680000000000007</v>
      </c>
      <c r="G21" s="12"/>
    </row>
    <row r="22" spans="1:7" ht="22.8" customHeight="1">
      <c r="A22" s="3"/>
      <c r="B22" s="11" t="s">
        <v>96</v>
      </c>
      <c r="C22" s="14" t="s">
        <v>111</v>
      </c>
      <c r="D22" s="7">
        <f>0.6*49.1*0.5</f>
        <v>14.73</v>
      </c>
    </row>
    <row r="23" spans="1:7">
      <c r="A23" s="3"/>
      <c r="B23" s="11" t="s">
        <v>33</v>
      </c>
      <c r="C23" s="14" t="s">
        <v>112</v>
      </c>
      <c r="D23" s="7">
        <f>499*0.1*0.5</f>
        <v>24.950000000000003</v>
      </c>
    </row>
    <row r="24" spans="1:7" ht="22.8" customHeight="1">
      <c r="A24" s="3"/>
      <c r="B24" s="11" t="s">
        <v>100</v>
      </c>
      <c r="C24" s="14" t="s">
        <v>101</v>
      </c>
      <c r="D24" s="7">
        <f>0.6*49.1*0.4</f>
        <v>11.784000000000001</v>
      </c>
    </row>
    <row r="25" spans="1:7">
      <c r="A25" s="3"/>
      <c r="B25" s="11" t="s">
        <v>33</v>
      </c>
      <c r="C25" s="14" t="s">
        <v>102</v>
      </c>
      <c r="D25" s="7">
        <f>499*0.4</f>
        <v>199.60000000000002</v>
      </c>
    </row>
    <row r="26" spans="1:7" ht="36">
      <c r="A26" s="3" t="s">
        <v>48</v>
      </c>
      <c r="B26" s="11" t="s">
        <v>97</v>
      </c>
      <c r="C26" s="14" t="s">
        <v>113</v>
      </c>
      <c r="D26" s="7">
        <f>28607/5/1979*0.5</f>
        <v>1.4455280444669023</v>
      </c>
    </row>
    <row r="27" spans="1:7" ht="39.6" customHeight="1">
      <c r="A27" s="3" t="s">
        <v>49</v>
      </c>
      <c r="B27" s="11" t="s">
        <v>99</v>
      </c>
      <c r="C27" s="14" t="s">
        <v>114</v>
      </c>
      <c r="D27" s="7">
        <f>23990/5/1979*0.4</f>
        <v>0.96978271854471965</v>
      </c>
    </row>
    <row r="28" spans="1:7">
      <c r="A28" s="3" t="s">
        <v>77</v>
      </c>
      <c r="B28" s="11" t="s">
        <v>36</v>
      </c>
      <c r="C28" s="14"/>
      <c r="D28" s="7">
        <f>SUM(D29:D30)</f>
        <v>1.3643254168772108</v>
      </c>
    </row>
    <row r="29" spans="1:7">
      <c r="A29" s="3"/>
      <c r="B29" s="11" t="s">
        <v>104</v>
      </c>
      <c r="C29" s="14" t="s">
        <v>115</v>
      </c>
      <c r="D29" s="7">
        <f>3000/1979*0.5</f>
        <v>0.75795856493178371</v>
      </c>
    </row>
    <row r="30" spans="1:7">
      <c r="A30" s="3"/>
      <c r="B30" s="11" t="s">
        <v>105</v>
      </c>
      <c r="C30" s="14" t="s">
        <v>106</v>
      </c>
      <c r="D30" s="7">
        <f>3000/1979*0.4</f>
        <v>0.60636685194542705</v>
      </c>
    </row>
    <row r="31" spans="1:7" ht="36">
      <c r="A31" s="3" t="s">
        <v>5</v>
      </c>
      <c r="B31" s="11" t="s">
        <v>107</v>
      </c>
      <c r="C31" s="14" t="s">
        <v>116</v>
      </c>
      <c r="D31" s="7">
        <f>1105.87*0.5</f>
        <v>552.93499999999995</v>
      </c>
    </row>
    <row r="32" spans="1:7" ht="54">
      <c r="A32" s="3" t="s">
        <v>9</v>
      </c>
      <c r="B32" s="11" t="s">
        <v>10</v>
      </c>
      <c r="C32" s="16">
        <v>0.03</v>
      </c>
      <c r="D32" s="7">
        <f>D10*C32</f>
        <v>12.809741736230418</v>
      </c>
    </row>
    <row r="33" spans="1:4" ht="54">
      <c r="A33" s="3" t="s">
        <v>11</v>
      </c>
      <c r="B33" s="11" t="s">
        <v>19</v>
      </c>
      <c r="C33" s="16">
        <v>0.23</v>
      </c>
      <c r="D33" s="7">
        <f>D10*C33</f>
        <v>98.208019977766554</v>
      </c>
    </row>
    <row r="34" spans="1:4">
      <c r="A34" s="3" t="s">
        <v>12</v>
      </c>
      <c r="B34" s="11" t="s">
        <v>146</v>
      </c>
      <c r="C34" s="17">
        <v>0.05</v>
      </c>
      <c r="D34" s="7">
        <f>(D9+D32+D33)*C34</f>
        <v>56.873947666296104</v>
      </c>
    </row>
    <row r="35" spans="1:4">
      <c r="A35" s="3" t="s">
        <v>13</v>
      </c>
      <c r="B35" s="11" t="s">
        <v>15</v>
      </c>
      <c r="C35" s="14" t="s">
        <v>18</v>
      </c>
      <c r="D35" s="7">
        <f>D9+D32+D33+D34</f>
        <v>1194.3529009922181</v>
      </c>
    </row>
    <row r="36" spans="1:4" ht="36">
      <c r="A36" s="3" t="s">
        <v>14</v>
      </c>
      <c r="B36" s="11" t="s">
        <v>162</v>
      </c>
      <c r="C36" s="14" t="s">
        <v>63</v>
      </c>
      <c r="D36" s="7">
        <v>7</v>
      </c>
    </row>
    <row r="37" spans="1:4">
      <c r="A37" s="3"/>
      <c r="B37" s="11" t="s">
        <v>118</v>
      </c>
      <c r="C37" s="14" t="s">
        <v>18</v>
      </c>
      <c r="D37" s="7">
        <f>D36*D35</f>
        <v>8360.4703069455263</v>
      </c>
    </row>
    <row r="38" spans="1:4" s="32" customFormat="1" ht="34.799999999999997">
      <c r="A38" s="28" t="s">
        <v>16</v>
      </c>
      <c r="B38" s="29" t="s">
        <v>161</v>
      </c>
      <c r="C38" s="30" t="s">
        <v>18</v>
      </c>
      <c r="D38" s="31">
        <v>8300</v>
      </c>
    </row>
    <row r="39" spans="1:4">
      <c r="A39" s="3" t="s">
        <v>110</v>
      </c>
      <c r="B39" s="11" t="s">
        <v>148</v>
      </c>
      <c r="C39" s="17">
        <v>0.2</v>
      </c>
      <c r="D39" s="7">
        <f>(D9+D32+D33)*C39</f>
        <v>227.49579066518442</v>
      </c>
    </row>
    <row r="40" spans="1:4">
      <c r="A40" s="3" t="s">
        <v>154</v>
      </c>
      <c r="B40" s="11" t="s">
        <v>15</v>
      </c>
      <c r="C40" s="14" t="s">
        <v>18</v>
      </c>
      <c r="D40" s="7">
        <f>D9+D32+D33+D39</f>
        <v>1364.9747439911064</v>
      </c>
    </row>
    <row r="41" spans="1:4" ht="36">
      <c r="A41" s="3" t="s">
        <v>155</v>
      </c>
      <c r="B41" s="11" t="s">
        <v>127</v>
      </c>
      <c r="C41" s="14" t="s">
        <v>63</v>
      </c>
      <c r="D41" s="7">
        <v>7</v>
      </c>
    </row>
    <row r="42" spans="1:4">
      <c r="A42" s="3"/>
      <c r="B42" s="11" t="s">
        <v>118</v>
      </c>
      <c r="C42" s="14" t="s">
        <v>18</v>
      </c>
      <c r="D42" s="7">
        <f>D41*D40</f>
        <v>9554.8232079377449</v>
      </c>
    </row>
    <row r="43" spans="1:4" s="32" customFormat="1" ht="34.799999999999997">
      <c r="A43" s="28" t="s">
        <v>156</v>
      </c>
      <c r="B43" s="29" t="s">
        <v>160</v>
      </c>
      <c r="C43" s="30" t="s">
        <v>18</v>
      </c>
      <c r="D43" s="31">
        <v>9550</v>
      </c>
    </row>
    <row r="44" spans="1:4" ht="15.6" customHeight="1">
      <c r="B44" s="23" t="s">
        <v>98</v>
      </c>
      <c r="C44" s="23"/>
      <c r="D44" s="23"/>
    </row>
    <row r="45" spans="1:4" ht="15.6" customHeight="1">
      <c r="B45" s="19"/>
      <c r="C45" s="19"/>
      <c r="D45" s="19"/>
    </row>
    <row r="46" spans="1:4">
      <c r="B46" s="9" t="s">
        <v>41</v>
      </c>
      <c r="D46" s="13" t="s">
        <v>40</v>
      </c>
    </row>
    <row r="47" spans="1:4" ht="9.6" customHeight="1"/>
    <row r="48" spans="1:4">
      <c r="B48" s="9" t="s">
        <v>42</v>
      </c>
      <c r="D48" s="13" t="s">
        <v>43</v>
      </c>
    </row>
    <row r="50" spans="2:2">
      <c r="B50" s="20"/>
    </row>
  </sheetData>
  <mergeCells count="3">
    <mergeCell ref="C1:D4"/>
    <mergeCell ref="B6:D6"/>
    <mergeCell ref="B44:D44"/>
  </mergeCells>
  <pageMargins left="1.1811023622047245" right="0.39370078740157483" top="0.78740157480314965" bottom="0.78740157480314965" header="0.31496062992125984" footer="0.31496062992125984"/>
  <pageSetup paperSize="9" scale="68" fitToHeight="0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zoomScaleNormal="100" workbookViewId="0">
      <selection activeCell="G10" sqref="G10"/>
    </sheetView>
  </sheetViews>
  <sheetFormatPr defaultRowHeight="18"/>
  <cols>
    <col min="1" max="1" width="6.21875" style="2" customWidth="1"/>
    <col min="2" max="2" width="60.109375" style="9" customWidth="1"/>
    <col min="3" max="3" width="38.33203125" style="1" customWidth="1"/>
    <col min="4" max="4" width="19.88671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183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9.6" customHeight="1"/>
    <row r="6" spans="1:5" ht="54" customHeight="1">
      <c r="B6" s="22" t="s">
        <v>128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D10+D14+D21+D26+D27+D28+D31</f>
        <v>882.71460862388403</v>
      </c>
    </row>
    <row r="10" spans="1:5">
      <c r="A10" s="3" t="s">
        <v>45</v>
      </c>
      <c r="B10" s="11" t="s">
        <v>124</v>
      </c>
      <c r="C10" s="14"/>
      <c r="D10" s="7">
        <f>SUM(D11:D13)</f>
        <v>284.45745770591208</v>
      </c>
    </row>
    <row r="11" spans="1:5" ht="54">
      <c r="A11" s="3"/>
      <c r="B11" s="11" t="s">
        <v>88</v>
      </c>
      <c r="C11" s="14" t="s">
        <v>89</v>
      </c>
      <c r="D11" s="7">
        <f>16881.6*12/1979*2</f>
        <v>204.72885295603839</v>
      </c>
    </row>
    <row r="12" spans="1:5" ht="36">
      <c r="A12" s="3"/>
      <c r="B12" s="11" t="s">
        <v>123</v>
      </c>
      <c r="C12" s="14" t="s">
        <v>91</v>
      </c>
      <c r="D12" s="7">
        <f>3517*4/1979*2</f>
        <v>14.217281455280444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65.511323294593225</v>
      </c>
    </row>
    <row r="14" spans="1:5">
      <c r="A14" s="3" t="s">
        <v>46</v>
      </c>
      <c r="B14" s="11" t="s">
        <v>7</v>
      </c>
      <c r="C14" s="14"/>
      <c r="D14" s="7">
        <f>D15+D19</f>
        <v>1.8625147380832074</v>
      </c>
    </row>
    <row r="15" spans="1:5" ht="36">
      <c r="A15" s="18" t="s">
        <v>108</v>
      </c>
      <c r="B15" s="11" t="s">
        <v>20</v>
      </c>
      <c r="C15" s="14"/>
      <c r="D15" s="7">
        <f>SUM(D16:D18)</f>
        <v>1.4986946269159511</v>
      </c>
    </row>
    <row r="16" spans="1:5" ht="36">
      <c r="A16" s="3"/>
      <c r="B16" s="11" t="s">
        <v>21</v>
      </c>
      <c r="C16" s="14" t="s">
        <v>92</v>
      </c>
      <c r="D16" s="7">
        <f>1428/2/1979*2</f>
        <v>0.72157655381505814</v>
      </c>
    </row>
    <row r="17" spans="1:7" ht="22.2" customHeight="1">
      <c r="A17" s="3"/>
      <c r="B17" s="11" t="s">
        <v>61</v>
      </c>
      <c r="C17" s="14" t="s">
        <v>93</v>
      </c>
      <c r="D17" s="7">
        <f>1750/3/1979*2</f>
        <v>0.58952332828027632</v>
      </c>
    </row>
    <row r="18" spans="1:7" ht="26.4" customHeight="1">
      <c r="A18" s="3"/>
      <c r="B18" s="11" t="s">
        <v>27</v>
      </c>
      <c r="C18" s="14" t="s">
        <v>94</v>
      </c>
      <c r="D18" s="7">
        <f>742.5/2/1979</f>
        <v>0.18759474482061647</v>
      </c>
    </row>
    <row r="19" spans="1:7">
      <c r="A19" s="3" t="s">
        <v>109</v>
      </c>
      <c r="B19" s="11" t="s">
        <v>22</v>
      </c>
      <c r="C19" s="14"/>
      <c r="D19" s="7">
        <f>SUM(D20:D20)</f>
        <v>0.36382011116725621</v>
      </c>
    </row>
    <row r="20" spans="1:7" ht="24" customHeight="1">
      <c r="A20" s="3"/>
      <c r="B20" s="11" t="s">
        <v>23</v>
      </c>
      <c r="C20" s="14" t="s">
        <v>95</v>
      </c>
      <c r="D20" s="7">
        <f>30*12/1979*2</f>
        <v>0.36382011116725621</v>
      </c>
    </row>
    <row r="21" spans="1:7" ht="36">
      <c r="A21" s="3" t="s">
        <v>47</v>
      </c>
      <c r="B21" s="11" t="s">
        <v>51</v>
      </c>
      <c r="C21" s="14"/>
      <c r="D21" s="7">
        <f>D22+D23</f>
        <v>39.680000000000007</v>
      </c>
      <c r="G21" s="12"/>
    </row>
    <row r="22" spans="1:7" ht="22.8" customHeight="1">
      <c r="A22" s="3"/>
      <c r="B22" s="11" t="s">
        <v>96</v>
      </c>
      <c r="C22" s="14" t="s">
        <v>111</v>
      </c>
      <c r="D22" s="7">
        <f>0.6*49.1*0.5</f>
        <v>14.73</v>
      </c>
    </row>
    <row r="23" spans="1:7">
      <c r="A23" s="3"/>
      <c r="B23" s="11" t="s">
        <v>33</v>
      </c>
      <c r="C23" s="14" t="s">
        <v>112</v>
      </c>
      <c r="D23" s="7">
        <f>499*0.1*0.5</f>
        <v>24.950000000000003</v>
      </c>
    </row>
    <row r="24" spans="1:7" ht="22.8" customHeight="1">
      <c r="A24" s="3"/>
      <c r="B24" s="11" t="s">
        <v>100</v>
      </c>
      <c r="C24" s="14" t="s">
        <v>101</v>
      </c>
      <c r="D24" s="7">
        <f>0.6*49.1*0.4</f>
        <v>11.784000000000001</v>
      </c>
    </row>
    <row r="25" spans="1:7">
      <c r="A25" s="3"/>
      <c r="B25" s="11" t="s">
        <v>33</v>
      </c>
      <c r="C25" s="14" t="s">
        <v>102</v>
      </c>
      <c r="D25" s="7">
        <f>499*0.4</f>
        <v>199.60000000000002</v>
      </c>
    </row>
    <row r="26" spans="1:7" ht="36">
      <c r="A26" s="3" t="s">
        <v>48</v>
      </c>
      <c r="B26" s="11" t="s">
        <v>97</v>
      </c>
      <c r="C26" s="14" t="s">
        <v>113</v>
      </c>
      <c r="D26" s="7">
        <f>28607/5/1979*0.5</f>
        <v>1.4455280444669023</v>
      </c>
    </row>
    <row r="27" spans="1:7" ht="39.6" customHeight="1">
      <c r="A27" s="3" t="s">
        <v>49</v>
      </c>
      <c r="B27" s="11" t="s">
        <v>99</v>
      </c>
      <c r="C27" s="14" t="s">
        <v>114</v>
      </c>
      <c r="D27" s="7">
        <f>23990/5/1979*0.4</f>
        <v>0.96978271854471965</v>
      </c>
    </row>
    <row r="28" spans="1:7">
      <c r="A28" s="3" t="s">
        <v>77</v>
      </c>
      <c r="B28" s="11" t="s">
        <v>36</v>
      </c>
      <c r="C28" s="14"/>
      <c r="D28" s="7">
        <f>SUM(D29:D30)</f>
        <v>1.3643254168772108</v>
      </c>
    </row>
    <row r="29" spans="1:7">
      <c r="A29" s="3"/>
      <c r="B29" s="11" t="s">
        <v>104</v>
      </c>
      <c r="C29" s="14" t="s">
        <v>115</v>
      </c>
      <c r="D29" s="7">
        <f>3000/1979*0.5</f>
        <v>0.75795856493178371</v>
      </c>
    </row>
    <row r="30" spans="1:7">
      <c r="A30" s="3"/>
      <c r="B30" s="11" t="s">
        <v>105</v>
      </c>
      <c r="C30" s="14" t="s">
        <v>106</v>
      </c>
      <c r="D30" s="7">
        <f>3000/1979*0.4</f>
        <v>0.60636685194542705</v>
      </c>
    </row>
    <row r="31" spans="1:7" ht="36">
      <c r="A31" s="3" t="s">
        <v>5</v>
      </c>
      <c r="B31" s="11" t="s">
        <v>107</v>
      </c>
      <c r="C31" s="14" t="s">
        <v>116</v>
      </c>
      <c r="D31" s="7">
        <f>1105.87*0.5</f>
        <v>552.93499999999995</v>
      </c>
    </row>
    <row r="32" spans="1:7" ht="54">
      <c r="A32" s="3" t="s">
        <v>9</v>
      </c>
      <c r="B32" s="11" t="s">
        <v>10</v>
      </c>
      <c r="C32" s="16">
        <v>0.03</v>
      </c>
      <c r="D32" s="7">
        <f>D10*C32</f>
        <v>8.5337237311773624</v>
      </c>
    </row>
    <row r="33" spans="1:4" ht="54">
      <c r="A33" s="3" t="s">
        <v>11</v>
      </c>
      <c r="B33" s="11" t="s">
        <v>19</v>
      </c>
      <c r="C33" s="16">
        <v>0.23</v>
      </c>
      <c r="D33" s="7">
        <f>D10*C33</f>
        <v>65.425215272359779</v>
      </c>
    </row>
    <row r="34" spans="1:4">
      <c r="A34" s="3" t="s">
        <v>12</v>
      </c>
      <c r="B34" s="11" t="s">
        <v>146</v>
      </c>
      <c r="C34" s="17">
        <v>0.05</v>
      </c>
      <c r="D34" s="7">
        <f>(D9+D32+D33)*C34</f>
        <v>47.833677381371061</v>
      </c>
    </row>
    <row r="35" spans="1:4">
      <c r="A35" s="3" t="s">
        <v>13</v>
      </c>
      <c r="B35" s="11" t="s">
        <v>15</v>
      </c>
      <c r="C35" s="14" t="s">
        <v>18</v>
      </c>
      <c r="D35" s="7">
        <f>D9+D32+D33+D34</f>
        <v>1004.5072250087923</v>
      </c>
    </row>
    <row r="36" spans="1:4">
      <c r="A36" s="3" t="s">
        <v>14</v>
      </c>
      <c r="B36" s="11" t="s">
        <v>117</v>
      </c>
      <c r="C36" s="14" t="s">
        <v>63</v>
      </c>
      <c r="D36" s="7">
        <v>3.5</v>
      </c>
    </row>
    <row r="37" spans="1:4">
      <c r="A37" s="3"/>
      <c r="B37" s="11" t="s">
        <v>118</v>
      </c>
      <c r="C37" s="14" t="s">
        <v>18</v>
      </c>
      <c r="D37" s="7">
        <f>D36*D35</f>
        <v>3515.7752875307729</v>
      </c>
    </row>
    <row r="38" spans="1:4">
      <c r="A38" s="3" t="s">
        <v>16</v>
      </c>
      <c r="B38" s="11" t="s">
        <v>119</v>
      </c>
      <c r="C38" s="14" t="s">
        <v>63</v>
      </c>
      <c r="D38" s="7">
        <v>5.5</v>
      </c>
    </row>
    <row r="39" spans="1:4">
      <c r="A39" s="3"/>
      <c r="B39" s="11" t="s">
        <v>118</v>
      </c>
      <c r="C39" s="14" t="s">
        <v>18</v>
      </c>
      <c r="D39" s="7">
        <f>D35*D38</f>
        <v>5524.7897375483572</v>
      </c>
    </row>
    <row r="40" spans="1:4" s="32" customFormat="1" ht="34.799999999999997">
      <c r="A40" s="28" t="s">
        <v>110</v>
      </c>
      <c r="B40" s="29" t="s">
        <v>161</v>
      </c>
      <c r="C40" s="30"/>
      <c r="D40" s="31"/>
    </row>
    <row r="41" spans="1:4" s="32" customFormat="1" ht="17.399999999999999">
      <c r="A41" s="28" t="s">
        <v>53</v>
      </c>
      <c r="B41" s="29" t="s">
        <v>120</v>
      </c>
      <c r="C41" s="30" t="s">
        <v>18</v>
      </c>
      <c r="D41" s="31">
        <v>3500</v>
      </c>
    </row>
    <row r="42" spans="1:4" s="32" customFormat="1" ht="19.8" customHeight="1">
      <c r="A42" s="28" t="s">
        <v>150</v>
      </c>
      <c r="B42" s="29" t="s">
        <v>121</v>
      </c>
      <c r="C42" s="33" t="s">
        <v>18</v>
      </c>
      <c r="D42" s="31">
        <v>5500</v>
      </c>
    </row>
    <row r="43" spans="1:4">
      <c r="A43" s="3" t="s">
        <v>110</v>
      </c>
      <c r="B43" s="11" t="s">
        <v>148</v>
      </c>
      <c r="C43" s="17">
        <v>0.2</v>
      </c>
      <c r="D43" s="7">
        <f>(D9+D32+D33)*C43</f>
        <v>191.33470952548424</v>
      </c>
    </row>
    <row r="44" spans="1:4">
      <c r="A44" s="3" t="s">
        <v>154</v>
      </c>
      <c r="B44" s="11" t="s">
        <v>15</v>
      </c>
      <c r="C44" s="14" t="s">
        <v>18</v>
      </c>
      <c r="D44" s="7">
        <f>D9+D32+D33+D43</f>
        <v>1148.0082571529053</v>
      </c>
    </row>
    <row r="45" spans="1:4">
      <c r="A45" s="3" t="s">
        <v>155</v>
      </c>
      <c r="B45" s="11" t="s">
        <v>117</v>
      </c>
      <c r="C45" s="14" t="s">
        <v>63</v>
      </c>
      <c r="D45" s="7">
        <v>3.5</v>
      </c>
    </row>
    <row r="46" spans="1:4">
      <c r="A46" s="3"/>
      <c r="B46" s="11" t="s">
        <v>118</v>
      </c>
      <c r="C46" s="14" t="s">
        <v>18</v>
      </c>
      <c r="D46" s="7">
        <f>D45*D44</f>
        <v>4018.0289000351686</v>
      </c>
    </row>
    <row r="47" spans="1:4">
      <c r="A47" s="3" t="s">
        <v>156</v>
      </c>
      <c r="B47" s="11" t="s">
        <v>119</v>
      </c>
      <c r="C47" s="14" t="s">
        <v>63</v>
      </c>
      <c r="D47" s="7">
        <v>5.5</v>
      </c>
    </row>
    <row r="48" spans="1:4">
      <c r="A48" s="3"/>
      <c r="B48" s="11" t="s">
        <v>118</v>
      </c>
      <c r="C48" s="14" t="s">
        <v>18</v>
      </c>
      <c r="D48" s="7">
        <f>D44*D47</f>
        <v>6314.0454143409797</v>
      </c>
    </row>
    <row r="49" spans="1:4" s="32" customFormat="1" ht="34.799999999999997">
      <c r="A49" s="28" t="s">
        <v>157</v>
      </c>
      <c r="B49" s="29" t="s">
        <v>160</v>
      </c>
      <c r="C49" s="30"/>
      <c r="D49" s="31"/>
    </row>
    <row r="50" spans="1:4" s="32" customFormat="1" ht="17.399999999999999">
      <c r="A50" s="28" t="s">
        <v>158</v>
      </c>
      <c r="B50" s="29" t="s">
        <v>120</v>
      </c>
      <c r="C50" s="30" t="s">
        <v>18</v>
      </c>
      <c r="D50" s="31">
        <v>4018</v>
      </c>
    </row>
    <row r="51" spans="1:4" s="32" customFormat="1" ht="19.8" customHeight="1">
      <c r="A51" s="28" t="s">
        <v>159</v>
      </c>
      <c r="B51" s="29" t="s">
        <v>121</v>
      </c>
      <c r="C51" s="33" t="s">
        <v>18</v>
      </c>
      <c r="D51" s="31">
        <v>6314</v>
      </c>
    </row>
    <row r="52" spans="1:4" ht="15.6" customHeight="1">
      <c r="B52" s="23" t="s">
        <v>98</v>
      </c>
      <c r="C52" s="23"/>
      <c r="D52" s="23"/>
    </row>
    <row r="53" spans="1:4" ht="15.6" customHeight="1">
      <c r="B53" s="19"/>
      <c r="C53" s="19"/>
      <c r="D53" s="19"/>
    </row>
    <row r="54" spans="1:4">
      <c r="B54" s="9" t="s">
        <v>41</v>
      </c>
      <c r="D54" s="13" t="s">
        <v>40</v>
      </c>
    </row>
    <row r="55" spans="1:4" ht="9.6" customHeight="1"/>
    <row r="56" spans="1:4">
      <c r="B56" s="9" t="s">
        <v>42</v>
      </c>
      <c r="D56" s="13" t="s">
        <v>43</v>
      </c>
    </row>
    <row r="58" spans="1:4">
      <c r="B58" s="20"/>
    </row>
  </sheetData>
  <mergeCells count="3">
    <mergeCell ref="C1:D4"/>
    <mergeCell ref="B6:D6"/>
    <mergeCell ref="B52:D52"/>
  </mergeCells>
  <pageMargins left="1.1811023622047245" right="0.39370078740157483" top="0.78740157480314965" bottom="0.78740157480314965" header="0.31496062992125984" footer="0.31496062992125984"/>
  <pageSetup paperSize="9" scale="68" fitToHeight="0" orientation="portrait" horizontalDpi="180" verticalDpi="180" r:id="rId1"/>
  <rowBreaks count="1" manualBreakCount="1">
    <brk id="38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"/>
  <sheetViews>
    <sheetView workbookViewId="0">
      <selection activeCell="C47" sqref="C47"/>
    </sheetView>
  </sheetViews>
  <sheetFormatPr defaultRowHeight="18"/>
  <cols>
    <col min="1" max="1" width="4.5546875" style="2" customWidth="1"/>
    <col min="2" max="2" width="59.44140625" style="9" customWidth="1"/>
    <col min="3" max="3" width="31.109375" style="1" customWidth="1"/>
    <col min="4" max="4" width="23.21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4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10.199999999999999" customHeight="1"/>
    <row r="6" spans="1:5" ht="52.2" customHeight="1">
      <c r="B6" s="22" t="s">
        <v>72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D10+D14+D21+D26+D27+D30</f>
        <v>1105.874133872326</v>
      </c>
    </row>
    <row r="10" spans="1:5">
      <c r="A10" s="3" t="s">
        <v>45</v>
      </c>
      <c r="B10" s="11" t="s">
        <v>124</v>
      </c>
      <c r="C10" s="14"/>
      <c r="D10" s="7">
        <f>SUM(D11:D13)</f>
        <v>175.99631814047498</v>
      </c>
    </row>
    <row r="11" spans="1:5" ht="54">
      <c r="A11" s="3"/>
      <c r="B11" s="11" t="s">
        <v>56</v>
      </c>
      <c r="C11" s="14" t="s">
        <v>58</v>
      </c>
      <c r="D11" s="7">
        <f>20760.4*12/1979</f>
        <v>125.88418393127843</v>
      </c>
    </row>
    <row r="12" spans="1:5" ht="36">
      <c r="A12" s="3"/>
      <c r="B12" s="11" t="s">
        <v>64</v>
      </c>
      <c r="C12" s="14" t="s">
        <v>59</v>
      </c>
      <c r="D12" s="7">
        <f>4828*4/1979</f>
        <v>9.758463870641739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40.353670338554828</v>
      </c>
    </row>
    <row r="14" spans="1:5">
      <c r="A14" s="3" t="s">
        <v>46</v>
      </c>
      <c r="B14" s="11" t="s">
        <v>7</v>
      </c>
      <c r="C14" s="14"/>
      <c r="D14" s="7">
        <f>D15+D19</f>
        <v>1.0250547414519118</v>
      </c>
    </row>
    <row r="15" spans="1:5" ht="36">
      <c r="A15" s="3"/>
      <c r="B15" s="11" t="s">
        <v>20</v>
      </c>
      <c r="C15" s="14"/>
      <c r="D15" s="7">
        <f>SUM(D16:D18)</f>
        <v>0.84314468586828373</v>
      </c>
    </row>
    <row r="16" spans="1:5" ht="36">
      <c r="A16" s="3"/>
      <c r="B16" s="11" t="s">
        <v>21</v>
      </c>
      <c r="C16" s="14" t="s">
        <v>60</v>
      </c>
      <c r="D16" s="7">
        <f>1428/2/1979</f>
        <v>0.36078827690752907</v>
      </c>
    </row>
    <row r="17" spans="1:7" ht="19.8" customHeight="1">
      <c r="A17" s="3"/>
      <c r="B17" s="11" t="s">
        <v>61</v>
      </c>
      <c r="C17" s="14" t="s">
        <v>62</v>
      </c>
      <c r="D17" s="7">
        <f>1750/3/1979</f>
        <v>0.29476166414013816</v>
      </c>
    </row>
    <row r="18" spans="1:7">
      <c r="A18" s="3"/>
      <c r="B18" s="11" t="s">
        <v>27</v>
      </c>
      <c r="C18" s="14" t="s">
        <v>28</v>
      </c>
      <c r="D18" s="7">
        <f>742.5/2/1979</f>
        <v>0.18759474482061647</v>
      </c>
    </row>
    <row r="19" spans="1:7">
      <c r="A19" s="3"/>
      <c r="B19" s="11" t="s">
        <v>22</v>
      </c>
      <c r="C19" s="14"/>
      <c r="D19" s="7">
        <f>SUM(D20:D20)</f>
        <v>0.18191005558362811</v>
      </c>
    </row>
    <row r="20" spans="1:7" ht="24.6" customHeight="1">
      <c r="A20" s="3"/>
      <c r="B20" s="11" t="s">
        <v>23</v>
      </c>
      <c r="C20" s="14" t="s">
        <v>31</v>
      </c>
      <c r="D20" s="7">
        <f>30*12/1979</f>
        <v>0.18191005558362811</v>
      </c>
    </row>
    <row r="21" spans="1:7" ht="36">
      <c r="A21" s="3" t="s">
        <v>47</v>
      </c>
      <c r="B21" s="11" t="s">
        <v>51</v>
      </c>
      <c r="C21" s="14"/>
      <c r="D21" s="7">
        <f>SUM(D22:D25)</f>
        <v>876.26599999999996</v>
      </c>
      <c r="G21" s="12"/>
    </row>
    <row r="22" spans="1:7" ht="52.8" customHeight="1">
      <c r="A22" s="3"/>
      <c r="B22" s="11" t="s">
        <v>85</v>
      </c>
      <c r="C22" s="14" t="s">
        <v>65</v>
      </c>
      <c r="D22" s="7">
        <f>32.4/100*40*49.1</f>
        <v>636.33600000000001</v>
      </c>
    </row>
    <row r="23" spans="1:7" ht="69.599999999999994" customHeight="1">
      <c r="A23" s="3"/>
      <c r="B23" s="11" t="s">
        <v>69</v>
      </c>
      <c r="C23" s="14" t="s">
        <v>75</v>
      </c>
      <c r="D23" s="7">
        <f>22.6+14.83</f>
        <v>37.43</v>
      </c>
    </row>
    <row r="24" spans="1:7" ht="37.200000000000003" customHeight="1">
      <c r="A24" s="3"/>
      <c r="B24" s="11" t="s">
        <v>66</v>
      </c>
      <c r="C24" s="14" t="s">
        <v>67</v>
      </c>
      <c r="D24" s="7">
        <f>3.5*49.1</f>
        <v>171.85</v>
      </c>
    </row>
    <row r="25" spans="1:7" ht="72">
      <c r="A25" s="3"/>
      <c r="B25" s="11" t="s">
        <v>70</v>
      </c>
      <c r="C25" s="14" t="s">
        <v>68</v>
      </c>
      <c r="D25" s="7">
        <f>15.82+14.83</f>
        <v>30.65</v>
      </c>
    </row>
    <row r="26" spans="1:7" ht="36">
      <c r="A26" s="3" t="s">
        <v>48</v>
      </c>
      <c r="B26" s="11" t="s">
        <v>76</v>
      </c>
      <c r="C26" s="14" t="s">
        <v>86</v>
      </c>
      <c r="D26" s="7">
        <f>828400/10/1979</f>
        <v>41.859525012632645</v>
      </c>
    </row>
    <row r="27" spans="1:7">
      <c r="A27" s="3" t="s">
        <v>49</v>
      </c>
      <c r="B27" s="11" t="s">
        <v>36</v>
      </c>
      <c r="C27" s="14"/>
      <c r="D27" s="7">
        <f>D28</f>
        <v>6.0636685194542697</v>
      </c>
    </row>
    <row r="28" spans="1:7">
      <c r="A28" s="3"/>
      <c r="B28" s="11" t="s">
        <v>8</v>
      </c>
      <c r="C28" s="14" t="s">
        <v>71</v>
      </c>
      <c r="D28" s="7">
        <f>12000/1979</f>
        <v>6.0636685194542697</v>
      </c>
    </row>
    <row r="29" spans="1:7">
      <c r="A29" s="3" t="s">
        <v>77</v>
      </c>
      <c r="B29" s="11" t="s">
        <v>78</v>
      </c>
      <c r="C29" s="14"/>
      <c r="D29" s="7">
        <v>0</v>
      </c>
    </row>
    <row r="30" spans="1:7" ht="36">
      <c r="A30" s="3" t="s">
        <v>79</v>
      </c>
      <c r="B30" s="11" t="s">
        <v>80</v>
      </c>
      <c r="C30" s="14"/>
      <c r="D30" s="7">
        <f>SUM(D31:D32)</f>
        <v>4.6635674583122784</v>
      </c>
    </row>
    <row r="31" spans="1:7">
      <c r="A31" s="3"/>
      <c r="B31" s="11" t="s">
        <v>81</v>
      </c>
      <c r="C31" s="14" t="s">
        <v>83</v>
      </c>
      <c r="D31" s="7">
        <f>6253.2/1979</f>
        <v>3.1597776654876197</v>
      </c>
    </row>
    <row r="32" spans="1:7">
      <c r="A32" s="3"/>
      <c r="B32" s="11" t="s">
        <v>82</v>
      </c>
      <c r="C32" s="14" t="s">
        <v>84</v>
      </c>
      <c r="D32" s="7">
        <f>2976/1979</f>
        <v>1.5037897928246589</v>
      </c>
    </row>
    <row r="33" spans="1:4" ht="54">
      <c r="A33" s="3" t="s">
        <v>5</v>
      </c>
      <c r="B33" s="11" t="s">
        <v>10</v>
      </c>
      <c r="C33" s="16">
        <v>0.03</v>
      </c>
      <c r="D33" s="7">
        <f>D10*C33</f>
        <v>5.2798895442142495</v>
      </c>
    </row>
    <row r="34" spans="1:4" ht="54">
      <c r="A34" s="3" t="s">
        <v>9</v>
      </c>
      <c r="B34" s="11" t="s">
        <v>19</v>
      </c>
      <c r="C34" s="16">
        <v>0.23</v>
      </c>
      <c r="D34" s="7">
        <f>D10*C34</f>
        <v>40.479153172309246</v>
      </c>
    </row>
    <row r="35" spans="1:4">
      <c r="A35" s="3" t="s">
        <v>11</v>
      </c>
      <c r="B35" s="11" t="s">
        <v>146</v>
      </c>
      <c r="C35" s="17">
        <v>0.01</v>
      </c>
      <c r="D35" s="7">
        <f>(D9+D33+D34)*C35</f>
        <v>11.516331765888495</v>
      </c>
    </row>
    <row r="36" spans="1:4">
      <c r="A36" s="3" t="s">
        <v>12</v>
      </c>
      <c r="B36" s="11" t="s">
        <v>15</v>
      </c>
      <c r="C36" s="14" t="s">
        <v>18</v>
      </c>
      <c r="D36" s="7">
        <f>D9+D33+D34+D35</f>
        <v>1163.1495083547379</v>
      </c>
    </row>
    <row r="37" spans="1:4" s="32" customFormat="1" ht="34.799999999999997">
      <c r="A37" s="28" t="s">
        <v>13</v>
      </c>
      <c r="B37" s="29" t="s">
        <v>151</v>
      </c>
      <c r="C37" s="30" t="s">
        <v>18</v>
      </c>
      <c r="D37" s="31">
        <v>1100</v>
      </c>
    </row>
    <row r="38" spans="1:4">
      <c r="A38" s="3" t="s">
        <v>14</v>
      </c>
      <c r="B38" s="11" t="s">
        <v>148</v>
      </c>
      <c r="C38" s="17">
        <v>0.2</v>
      </c>
      <c r="D38" s="7">
        <f>(D9+D33+D34)*C38</f>
        <v>230.3266353177699</v>
      </c>
    </row>
    <row r="39" spans="1:4">
      <c r="A39" s="3" t="s">
        <v>16</v>
      </c>
      <c r="B39" s="11" t="s">
        <v>15</v>
      </c>
      <c r="C39" s="14" t="s">
        <v>18</v>
      </c>
      <c r="D39" s="7">
        <f>D9+D33+D34+D38</f>
        <v>1381.9598119066193</v>
      </c>
    </row>
    <row r="40" spans="1:4" s="32" customFormat="1" ht="34.799999999999997">
      <c r="A40" s="28" t="s">
        <v>110</v>
      </c>
      <c r="B40" s="29" t="s">
        <v>149</v>
      </c>
      <c r="C40" s="30" t="s">
        <v>18</v>
      </c>
      <c r="D40" s="31">
        <v>1380</v>
      </c>
    </row>
    <row r="41" spans="1:4">
      <c r="A41" s="24"/>
      <c r="B41" s="25"/>
      <c r="C41" s="26"/>
      <c r="D41" s="27"/>
    </row>
    <row r="43" spans="1:4">
      <c r="B43" s="9" t="s">
        <v>41</v>
      </c>
      <c r="D43" s="13" t="s">
        <v>40</v>
      </c>
    </row>
    <row r="45" spans="1:4">
      <c r="B45" s="9" t="s">
        <v>42</v>
      </c>
      <c r="D45" s="13" t="s">
        <v>43</v>
      </c>
    </row>
    <row r="47" spans="1:4">
      <c r="B47" s="20"/>
    </row>
  </sheetData>
  <mergeCells count="2">
    <mergeCell ref="C1:D4"/>
    <mergeCell ref="B6:D6"/>
  </mergeCells>
  <pageMargins left="1.1811023622047245" right="0.39370078740157483" top="0.78740157480314965" bottom="0.78740157480314965" header="0.31496062992125984" footer="0.31496062992125984"/>
  <pageSetup paperSize="9" scale="72" fitToHeight="0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topLeftCell="A35" workbookViewId="0">
      <selection activeCell="B52" sqref="B52"/>
    </sheetView>
  </sheetViews>
  <sheetFormatPr defaultRowHeight="18"/>
  <cols>
    <col min="1" max="1" width="5.5546875" style="2" customWidth="1"/>
    <col min="2" max="2" width="60.109375" style="9" customWidth="1"/>
    <col min="3" max="3" width="34.21875" style="1" customWidth="1"/>
    <col min="4" max="4" width="22.5546875" style="6" customWidth="1"/>
    <col min="5" max="6" width="8.88671875" style="2"/>
    <col min="7" max="7" width="11.5546875" style="2" bestFit="1" customWidth="1"/>
    <col min="8" max="16384" width="8.88671875" style="2"/>
  </cols>
  <sheetData>
    <row r="1" spans="1:5" ht="18" customHeight="1">
      <c r="C1" s="21" t="s">
        <v>4</v>
      </c>
      <c r="D1" s="21"/>
      <c r="E1" s="1"/>
    </row>
    <row r="2" spans="1:5">
      <c r="C2" s="21"/>
      <c r="D2" s="21"/>
      <c r="E2" s="1"/>
    </row>
    <row r="3" spans="1:5">
      <c r="C3" s="21"/>
      <c r="D3" s="21"/>
      <c r="E3" s="1"/>
    </row>
    <row r="4" spans="1:5" ht="39" customHeight="1">
      <c r="C4" s="21"/>
      <c r="D4" s="21"/>
      <c r="E4" s="1"/>
    </row>
    <row r="5" spans="1:5" ht="9.6" customHeight="1"/>
    <row r="6" spans="1:5" ht="37.799999999999997" customHeight="1">
      <c r="B6" s="22" t="s">
        <v>57</v>
      </c>
      <c r="C6" s="22"/>
      <c r="D6" s="22"/>
    </row>
    <row r="7" spans="1:5" ht="13.8" customHeight="1"/>
    <row r="8" spans="1:5" s="5" customFormat="1" ht="58.2" customHeight="1">
      <c r="A8" s="4" t="s">
        <v>0</v>
      </c>
      <c r="B8" s="10" t="s">
        <v>1</v>
      </c>
      <c r="C8" s="4" t="s">
        <v>54</v>
      </c>
      <c r="D8" s="8" t="s">
        <v>2</v>
      </c>
    </row>
    <row r="9" spans="1:5">
      <c r="A9" s="3" t="s">
        <v>3</v>
      </c>
      <c r="B9" s="11" t="s">
        <v>6</v>
      </c>
      <c r="C9" s="14"/>
      <c r="D9" s="7">
        <f>D10+D14+D23+D26+D27</f>
        <v>239.44715903655043</v>
      </c>
    </row>
    <row r="10" spans="1:5">
      <c r="A10" s="3" t="s">
        <v>45</v>
      </c>
      <c r="B10" s="11" t="s">
        <v>124</v>
      </c>
      <c r="C10" s="14"/>
      <c r="D10" s="7">
        <f>SUM(D11:D13)</f>
        <v>141.92352420414349</v>
      </c>
    </row>
    <row r="11" spans="1:5" ht="36">
      <c r="A11" s="3"/>
      <c r="B11" s="11" t="s">
        <v>55</v>
      </c>
      <c r="C11" s="14" t="s">
        <v>25</v>
      </c>
      <c r="D11" s="7">
        <f>16881.6*12/1979</f>
        <v>102.3644264780192</v>
      </c>
    </row>
    <row r="12" spans="1:5" ht="36">
      <c r="A12" s="3"/>
      <c r="B12" s="11" t="s">
        <v>64</v>
      </c>
      <c r="C12" s="14" t="s">
        <v>44</v>
      </c>
      <c r="D12" s="7">
        <f>3517*4/1979</f>
        <v>7.1086407276402221</v>
      </c>
    </row>
    <row r="13" spans="1:5" ht="36">
      <c r="A13" s="3"/>
      <c r="B13" s="11" t="s">
        <v>26</v>
      </c>
      <c r="C13" s="15">
        <v>0.30199999999999999</v>
      </c>
      <c r="D13" s="7">
        <f>(D11+D12-(4000/1979))*C13</f>
        <v>32.450456998484078</v>
      </c>
    </row>
    <row r="14" spans="1:5">
      <c r="A14" s="3" t="s">
        <v>46</v>
      </c>
      <c r="B14" s="11" t="s">
        <v>7</v>
      </c>
      <c r="C14" s="14"/>
      <c r="D14" s="7">
        <f>D15+D16+D20</f>
        <v>13.252442310931446</v>
      </c>
    </row>
    <row r="15" spans="1:5">
      <c r="A15" s="3"/>
      <c r="B15" s="11" t="s">
        <v>30</v>
      </c>
      <c r="C15" s="14" t="s">
        <v>29</v>
      </c>
      <c r="D15" s="7">
        <v>12</v>
      </c>
    </row>
    <row r="16" spans="1:5" ht="36">
      <c r="A16" s="3"/>
      <c r="B16" s="11" t="s">
        <v>20</v>
      </c>
      <c r="C16" s="14"/>
      <c r="D16" s="7">
        <f>SUM(D17:D19)</f>
        <v>0.84314468586828373</v>
      </c>
    </row>
    <row r="17" spans="1:7" ht="36">
      <c r="A17" s="3"/>
      <c r="B17" s="11" t="s">
        <v>21</v>
      </c>
      <c r="C17" s="14" t="s">
        <v>60</v>
      </c>
      <c r="D17" s="7">
        <f>1428/2/1979</f>
        <v>0.36078827690752907</v>
      </c>
    </row>
    <row r="18" spans="1:7" ht="22.2" customHeight="1">
      <c r="A18" s="3"/>
      <c r="B18" s="11" t="s">
        <v>61</v>
      </c>
      <c r="C18" s="14" t="s">
        <v>62</v>
      </c>
      <c r="D18" s="7">
        <f>1750/3/1979</f>
        <v>0.29476166414013816</v>
      </c>
    </row>
    <row r="19" spans="1:7">
      <c r="A19" s="3"/>
      <c r="B19" s="11" t="s">
        <v>27</v>
      </c>
      <c r="C19" s="14" t="s">
        <v>28</v>
      </c>
      <c r="D19" s="7">
        <f>742.5/2/1979</f>
        <v>0.18759474482061647</v>
      </c>
    </row>
    <row r="20" spans="1:7">
      <c r="A20" s="3"/>
      <c r="B20" s="11" t="s">
        <v>22</v>
      </c>
      <c r="C20" s="14"/>
      <c r="D20" s="7">
        <f>SUM(D21:D22)</f>
        <v>0.40929762506316325</v>
      </c>
    </row>
    <row r="21" spans="1:7">
      <c r="A21" s="3"/>
      <c r="B21" s="11" t="s">
        <v>38</v>
      </c>
      <c r="C21" s="14" t="s">
        <v>39</v>
      </c>
      <c r="D21" s="7">
        <f>450/1979</f>
        <v>0.22738756947953512</v>
      </c>
    </row>
    <row r="22" spans="1:7" ht="24" customHeight="1">
      <c r="A22" s="3"/>
      <c r="B22" s="11" t="s">
        <v>23</v>
      </c>
      <c r="C22" s="14" t="s">
        <v>31</v>
      </c>
      <c r="D22" s="7">
        <f>30*12/1979</f>
        <v>0.18191005558362811</v>
      </c>
    </row>
    <row r="23" spans="1:7" ht="36">
      <c r="A23" s="3" t="s">
        <v>47</v>
      </c>
      <c r="B23" s="11" t="s">
        <v>51</v>
      </c>
      <c r="C23" s="14"/>
      <c r="D23" s="7">
        <f>D24+D25</f>
        <v>79.360000000000014</v>
      </c>
      <c r="G23" s="12"/>
    </row>
    <row r="24" spans="1:7" ht="22.8" customHeight="1">
      <c r="A24" s="3"/>
      <c r="B24" s="11" t="s">
        <v>34</v>
      </c>
      <c r="C24" s="14" t="s">
        <v>32</v>
      </c>
      <c r="D24" s="7">
        <f>0.6*49.1</f>
        <v>29.46</v>
      </c>
    </row>
    <row r="25" spans="1:7">
      <c r="A25" s="3"/>
      <c r="B25" s="11" t="s">
        <v>33</v>
      </c>
      <c r="C25" s="14" t="s">
        <v>35</v>
      </c>
      <c r="D25" s="7">
        <f>499*0.1</f>
        <v>49.900000000000006</v>
      </c>
    </row>
    <row r="26" spans="1:7" ht="36">
      <c r="A26" s="3" t="s">
        <v>48</v>
      </c>
      <c r="B26" s="11" t="s">
        <v>73</v>
      </c>
      <c r="C26" s="14" t="s">
        <v>74</v>
      </c>
      <c r="D26" s="7">
        <f>24990/5/1979</f>
        <v>2.5255179383527033</v>
      </c>
    </row>
    <row r="27" spans="1:7">
      <c r="A27" s="3" t="s">
        <v>49</v>
      </c>
      <c r="B27" s="11" t="s">
        <v>36</v>
      </c>
      <c r="C27" s="14"/>
      <c r="D27" s="7">
        <f>D28</f>
        <v>2.3856745831227895</v>
      </c>
    </row>
    <row r="28" spans="1:7">
      <c r="A28" s="3"/>
      <c r="B28" s="11" t="s">
        <v>8</v>
      </c>
      <c r="C28" s="14" t="s">
        <v>37</v>
      </c>
      <c r="D28" s="7">
        <f>4721.25/1979</f>
        <v>2.3856745831227895</v>
      </c>
    </row>
    <row r="29" spans="1:7" ht="54">
      <c r="A29" s="3" t="s">
        <v>5</v>
      </c>
      <c r="B29" s="11" t="s">
        <v>10</v>
      </c>
      <c r="C29" s="16">
        <v>0.03</v>
      </c>
      <c r="D29" s="7">
        <f>D10*C29</f>
        <v>4.2577057261243043</v>
      </c>
    </row>
    <row r="30" spans="1:7" ht="54">
      <c r="A30" s="3" t="s">
        <v>9</v>
      </c>
      <c r="B30" s="11" t="s">
        <v>19</v>
      </c>
      <c r="C30" s="16">
        <v>0.23</v>
      </c>
      <c r="D30" s="7">
        <f>D10*C30</f>
        <v>32.642410566953004</v>
      </c>
    </row>
    <row r="31" spans="1:7">
      <c r="A31" s="3" t="s">
        <v>11</v>
      </c>
      <c r="B31" s="11" t="s">
        <v>146</v>
      </c>
      <c r="C31" s="17">
        <v>0.1</v>
      </c>
      <c r="D31" s="7">
        <f>(D9+D29+D30)*C31</f>
        <v>27.634727532962774</v>
      </c>
    </row>
    <row r="32" spans="1:7">
      <c r="A32" s="3" t="s">
        <v>12</v>
      </c>
      <c r="B32" s="11" t="s">
        <v>15</v>
      </c>
      <c r="C32" s="14" t="s">
        <v>18</v>
      </c>
      <c r="D32" s="7">
        <f>D9+D29+D30+D31</f>
        <v>303.98200286259049</v>
      </c>
    </row>
    <row r="33" spans="1:4">
      <c r="A33" s="3" t="s">
        <v>13</v>
      </c>
      <c r="B33" s="11" t="s">
        <v>24</v>
      </c>
      <c r="C33" s="14" t="s">
        <v>63</v>
      </c>
      <c r="D33" s="7">
        <v>0.5</v>
      </c>
    </row>
    <row r="34" spans="1:4">
      <c r="A34" s="3" t="s">
        <v>14</v>
      </c>
      <c r="B34" s="11" t="s">
        <v>17</v>
      </c>
      <c r="C34" s="14" t="s">
        <v>18</v>
      </c>
      <c r="D34" s="7">
        <f>D32*D33</f>
        <v>151.99100143129525</v>
      </c>
    </row>
    <row r="35" spans="1:4" s="32" customFormat="1" ht="22.8" customHeight="1">
      <c r="A35" s="28" t="s">
        <v>16</v>
      </c>
      <c r="B35" s="29" t="s">
        <v>152</v>
      </c>
      <c r="C35" s="30"/>
      <c r="D35" s="31"/>
    </row>
    <row r="36" spans="1:4" s="32" customFormat="1" ht="17.399999999999999">
      <c r="A36" s="28" t="s">
        <v>53</v>
      </c>
      <c r="B36" s="29" t="s">
        <v>50</v>
      </c>
      <c r="C36" s="30" t="s">
        <v>18</v>
      </c>
      <c r="D36" s="31">
        <v>150</v>
      </c>
    </row>
    <row r="37" spans="1:4" s="32" customFormat="1" ht="19.8" customHeight="1">
      <c r="A37" s="28" t="s">
        <v>150</v>
      </c>
      <c r="B37" s="29" t="s">
        <v>52</v>
      </c>
      <c r="C37" s="33" t="s">
        <v>18</v>
      </c>
      <c r="D37" s="31">
        <v>180</v>
      </c>
    </row>
    <row r="38" spans="1:4">
      <c r="A38" s="3" t="s">
        <v>110</v>
      </c>
      <c r="B38" s="11" t="s">
        <v>148</v>
      </c>
      <c r="C38" s="17">
        <v>0.2</v>
      </c>
      <c r="D38" s="7">
        <f>(D9+D29+D30)*C38</f>
        <v>55.269455065925548</v>
      </c>
    </row>
    <row r="39" spans="1:4">
      <c r="A39" s="3" t="s">
        <v>154</v>
      </c>
      <c r="B39" s="11" t="s">
        <v>15</v>
      </c>
      <c r="C39" s="14" t="s">
        <v>18</v>
      </c>
      <c r="D39" s="7">
        <f>D9+D29+D30+D38</f>
        <v>331.6167303955533</v>
      </c>
    </row>
    <row r="40" spans="1:4">
      <c r="A40" s="3" t="s">
        <v>155</v>
      </c>
      <c r="B40" s="11" t="s">
        <v>24</v>
      </c>
      <c r="C40" s="14" t="s">
        <v>63</v>
      </c>
      <c r="D40" s="7">
        <v>0.5</v>
      </c>
    </row>
    <row r="41" spans="1:4">
      <c r="A41" s="3" t="s">
        <v>156</v>
      </c>
      <c r="B41" s="11" t="s">
        <v>17</v>
      </c>
      <c r="C41" s="14" t="s">
        <v>18</v>
      </c>
      <c r="D41" s="7">
        <f>D39*D40</f>
        <v>165.80836519777665</v>
      </c>
    </row>
    <row r="42" spans="1:4" s="32" customFormat="1" ht="34.799999999999997">
      <c r="A42" s="28" t="s">
        <v>157</v>
      </c>
      <c r="B42" s="29" t="s">
        <v>153</v>
      </c>
      <c r="C42" s="30"/>
      <c r="D42" s="31"/>
    </row>
    <row r="43" spans="1:4" s="32" customFormat="1" ht="17.399999999999999">
      <c r="A43" s="28" t="s">
        <v>158</v>
      </c>
      <c r="B43" s="29" t="s">
        <v>50</v>
      </c>
      <c r="C43" s="30" t="s">
        <v>18</v>
      </c>
      <c r="D43" s="31">
        <v>165</v>
      </c>
    </row>
    <row r="44" spans="1:4" s="32" customFormat="1" ht="19.8" customHeight="1">
      <c r="A44" s="28" t="s">
        <v>159</v>
      </c>
      <c r="B44" s="29" t="s">
        <v>52</v>
      </c>
      <c r="C44" s="33" t="s">
        <v>18</v>
      </c>
      <c r="D44" s="31">
        <v>198</v>
      </c>
    </row>
    <row r="45" spans="1:4" ht="30.6" customHeight="1"/>
    <row r="46" spans="1:4">
      <c r="B46" s="9" t="s">
        <v>41</v>
      </c>
      <c r="D46" s="13" t="s">
        <v>40</v>
      </c>
    </row>
    <row r="47" spans="1:4" ht="15" customHeight="1"/>
    <row r="48" spans="1:4" ht="19.8" customHeight="1">
      <c r="B48" s="9" t="s">
        <v>42</v>
      </c>
      <c r="D48" s="13" t="s">
        <v>43</v>
      </c>
    </row>
  </sheetData>
  <mergeCells count="2">
    <mergeCell ref="C1:D4"/>
    <mergeCell ref="B6:D6"/>
  </mergeCells>
  <pageMargins left="1.1811023622047245" right="0.39370078740157483" top="0.78740157480314965" bottom="0.78740157480314965" header="0.31496062992125984" footer="0.31496062992125984"/>
  <pageSetup paperSize="9" scale="69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кустарник</vt:lpstr>
      <vt:lpstr>валка выше 12м с распилом</vt:lpstr>
      <vt:lpstr>валка выше 12м</vt:lpstr>
      <vt:lpstr>валка до 12 м с распилом</vt:lpstr>
      <vt:lpstr>валка до 12 м</vt:lpstr>
      <vt:lpstr>кронирование с распилом 12-17м</vt:lpstr>
      <vt:lpstr>кронирование с распилом до 12м</vt:lpstr>
      <vt:lpstr>автовышка</vt:lpstr>
      <vt:lpstr>покос</vt:lpstr>
      <vt:lpstr>рабочий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2020-05-28T09:45:02Z</dcterms:modified>
</cp:coreProperties>
</file>